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7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  <sheet name="TEMMUZ" sheetId="8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3" i="8" l="1"/>
  <c r="T43" i="8"/>
  <c r="T45" i="8" s="1"/>
  <c r="C54" i="8"/>
  <c r="C55" i="8" l="1"/>
  <c r="C61" i="8"/>
  <c r="C59" i="8"/>
  <c r="C52" i="8"/>
  <c r="R37" i="8"/>
  <c r="R36" i="8"/>
  <c r="I33" i="8" l="1"/>
  <c r="T40" i="8"/>
  <c r="U37" i="8"/>
  <c r="T37" i="8"/>
  <c r="T36" i="8"/>
  <c r="U36" i="8" s="1"/>
  <c r="O34" i="8"/>
  <c r="O33" i="8"/>
  <c r="I38" i="8"/>
  <c r="J37" i="8"/>
  <c r="L37" i="8" s="1"/>
  <c r="M37" i="8" s="1"/>
  <c r="I36" i="8"/>
  <c r="I37" i="8"/>
  <c r="L39" i="8"/>
  <c r="L38" i="8"/>
  <c r="L36" i="8"/>
  <c r="L35" i="8"/>
  <c r="M35" i="8" s="1"/>
  <c r="L34" i="8"/>
  <c r="M34" i="8" s="1"/>
  <c r="L33" i="8"/>
  <c r="W37" i="8" l="1"/>
  <c r="U38" i="8"/>
  <c r="W36" i="8"/>
  <c r="T38" i="8"/>
  <c r="M38" i="8"/>
  <c r="M36" i="8"/>
  <c r="M33" i="8"/>
  <c r="T39" i="8" l="1"/>
  <c r="T47" i="8" s="1"/>
  <c r="T51" i="8" s="1"/>
  <c r="C36" i="8" l="1"/>
  <c r="E36" i="8" s="1"/>
  <c r="F36" i="8" s="1"/>
  <c r="C37" i="8"/>
  <c r="E37" i="8" s="1"/>
  <c r="F37" i="8" s="1"/>
  <c r="E35" i="8"/>
  <c r="F35" i="8" s="1"/>
  <c r="E38" i="8"/>
  <c r="F38" i="8" s="1"/>
  <c r="E39" i="8"/>
  <c r="C38" i="8"/>
  <c r="B38" i="8"/>
  <c r="B37" i="8"/>
  <c r="B36" i="8"/>
  <c r="C34" i="8"/>
  <c r="C33" i="8"/>
  <c r="E33" i="8" l="1"/>
  <c r="F33" i="8" s="1"/>
  <c r="E34" i="8"/>
  <c r="F34" i="8" s="1"/>
  <c r="B34" i="8"/>
  <c r="B33" i="8"/>
  <c r="S30" i="8"/>
  <c r="T25" i="8" l="1"/>
  <c r="U29" i="8"/>
  <c r="R29" i="8"/>
  <c r="N29" i="8"/>
  <c r="K29" i="8"/>
  <c r="H29" i="8"/>
  <c r="E29" i="8"/>
  <c r="B29" i="8"/>
  <c r="U28" i="8"/>
  <c r="R28" i="8"/>
  <c r="Q28" i="8"/>
  <c r="N28" i="8"/>
  <c r="K28" i="8"/>
  <c r="H28" i="8"/>
  <c r="E28" i="8"/>
  <c r="F28" i="8" s="1"/>
  <c r="G28" i="8" s="1"/>
  <c r="B28" i="8"/>
  <c r="C28" i="8" s="1"/>
  <c r="D28" i="8" s="1"/>
  <c r="U27" i="8"/>
  <c r="R27" i="8"/>
  <c r="Q27" i="8"/>
  <c r="N27" i="8"/>
  <c r="K27" i="8"/>
  <c r="H27" i="8"/>
  <c r="E27" i="8"/>
  <c r="B27" i="8"/>
  <c r="B26" i="8"/>
  <c r="C26" i="8" s="1"/>
  <c r="D26" i="8" s="1"/>
  <c r="U26" i="8"/>
  <c r="S26" i="8"/>
  <c r="R26" i="8"/>
  <c r="Q26" i="8"/>
  <c r="N26" i="8"/>
  <c r="O26" i="8" s="1"/>
  <c r="P26" i="8" s="1"/>
  <c r="K26" i="8"/>
  <c r="L26" i="8" s="1"/>
  <c r="M26" i="8" s="1"/>
  <c r="H26" i="8"/>
  <c r="I26" i="8" s="1"/>
  <c r="J26" i="8" s="1"/>
  <c r="E26" i="8"/>
  <c r="U25" i="8"/>
  <c r="Q25" i="8"/>
  <c r="R25" i="8"/>
  <c r="N25" i="8"/>
  <c r="O25" i="8" s="1"/>
  <c r="P25" i="8" s="1"/>
  <c r="K25" i="8"/>
  <c r="L25" i="8" s="1"/>
  <c r="M25" i="8" s="1"/>
  <c r="H25" i="8"/>
  <c r="E25" i="8"/>
  <c r="B25" i="8"/>
  <c r="U24" i="8"/>
  <c r="R24" i="8"/>
  <c r="Q24" i="8"/>
  <c r="N24" i="8"/>
  <c r="O24" i="8" s="1"/>
  <c r="P24" i="8" s="1"/>
  <c r="K24" i="8"/>
  <c r="H24" i="8"/>
  <c r="I24" i="8" s="1"/>
  <c r="J24" i="8" s="1"/>
  <c r="E24" i="8"/>
  <c r="F24" i="8" s="1"/>
  <c r="G24" i="8" s="1"/>
  <c r="B24" i="8"/>
  <c r="C24" i="8" s="1"/>
  <c r="D24" i="8" s="1"/>
  <c r="U23" i="8"/>
  <c r="R23" i="8"/>
  <c r="Q23" i="8"/>
  <c r="N23" i="8"/>
  <c r="O23" i="8" s="1"/>
  <c r="P23" i="8" s="1"/>
  <c r="K23" i="8"/>
  <c r="H23" i="8"/>
  <c r="I23" i="8" s="1"/>
  <c r="J23" i="8" s="1"/>
  <c r="E23" i="8"/>
  <c r="F23" i="8" s="1"/>
  <c r="G23" i="8" s="1"/>
  <c r="B23" i="8"/>
  <c r="B22" i="8"/>
  <c r="C22" i="8" s="1"/>
  <c r="D22" i="8" s="1"/>
  <c r="R22" i="8"/>
  <c r="Q22" i="8"/>
  <c r="N22" i="8"/>
  <c r="O22" i="8" s="1"/>
  <c r="P22" i="8" s="1"/>
  <c r="K22" i="8"/>
  <c r="H22" i="8"/>
  <c r="E22" i="8"/>
  <c r="U21" i="8"/>
  <c r="R21" i="8"/>
  <c r="Q21" i="8"/>
  <c r="N21" i="8"/>
  <c r="O21" i="8" s="1"/>
  <c r="P21" i="8" s="1"/>
  <c r="K21" i="8"/>
  <c r="L21" i="8" s="1"/>
  <c r="M21" i="8" s="1"/>
  <c r="H21" i="8"/>
  <c r="E21" i="8"/>
  <c r="F21" i="8" s="1"/>
  <c r="G21" i="8" s="1"/>
  <c r="B21" i="8"/>
  <c r="C23" i="8"/>
  <c r="D23" i="8" s="1"/>
  <c r="L23" i="8"/>
  <c r="M23" i="8"/>
  <c r="L24" i="8"/>
  <c r="M24" i="8" s="1"/>
  <c r="C25" i="8"/>
  <c r="D25" i="8" s="1"/>
  <c r="F25" i="8"/>
  <c r="G25" i="8" s="1"/>
  <c r="I25" i="8"/>
  <c r="J25" i="8"/>
  <c r="F26" i="8"/>
  <c r="G26" i="8" s="1"/>
  <c r="C27" i="8"/>
  <c r="D27" i="8" s="1"/>
  <c r="F27" i="8"/>
  <c r="G27" i="8" s="1"/>
  <c r="I27" i="8"/>
  <c r="J27" i="8" s="1"/>
  <c r="L27" i="8"/>
  <c r="M27" i="8"/>
  <c r="O27" i="8"/>
  <c r="P27" i="8"/>
  <c r="I28" i="8"/>
  <c r="J28" i="8" s="1"/>
  <c r="L28" i="8"/>
  <c r="M28" i="8"/>
  <c r="O28" i="8"/>
  <c r="P28" i="8" s="1"/>
  <c r="C29" i="8"/>
  <c r="D29" i="8"/>
  <c r="F29" i="8"/>
  <c r="G29" i="8"/>
  <c r="I29" i="8"/>
  <c r="J29" i="8" s="1"/>
  <c r="L29" i="8"/>
  <c r="M29" i="8" s="1"/>
  <c r="O29" i="8"/>
  <c r="P29" i="8" s="1"/>
  <c r="R20" i="8"/>
  <c r="Q20" i="8"/>
  <c r="N20" i="8"/>
  <c r="O20" i="8" s="1"/>
  <c r="P20" i="8" s="1"/>
  <c r="K20" i="8"/>
  <c r="L20" i="8" s="1"/>
  <c r="M20" i="8" s="1"/>
  <c r="H20" i="8"/>
  <c r="I20" i="8" s="1"/>
  <c r="J20" i="8" s="1"/>
  <c r="E20" i="8"/>
  <c r="F20" i="8" s="1"/>
  <c r="G20" i="8" s="1"/>
  <c r="B20" i="8"/>
  <c r="C20" i="8" s="1"/>
  <c r="D20" i="8" s="1"/>
  <c r="T19" i="8"/>
  <c r="U19" i="8"/>
  <c r="R19" i="8"/>
  <c r="S19" i="8"/>
  <c r="Q19" i="8"/>
  <c r="N19" i="8"/>
  <c r="O19" i="8" s="1"/>
  <c r="P19" i="8" s="1"/>
  <c r="K19" i="8"/>
  <c r="L19" i="8" s="1"/>
  <c r="M19" i="8" s="1"/>
  <c r="H19" i="8"/>
  <c r="I19" i="8" s="1"/>
  <c r="J19" i="8" s="1"/>
  <c r="E19" i="8"/>
  <c r="F19" i="8" s="1"/>
  <c r="G19" i="8" s="1"/>
  <c r="B19" i="8"/>
  <c r="C19" i="8" s="1"/>
  <c r="D19" i="8" s="1"/>
  <c r="U18" i="8"/>
  <c r="R18" i="8"/>
  <c r="S18" i="8"/>
  <c r="Q18" i="8"/>
  <c r="N18" i="8"/>
  <c r="O18" i="8" s="1"/>
  <c r="P18" i="8" s="1"/>
  <c r="K18" i="8"/>
  <c r="L18" i="8" s="1"/>
  <c r="M18" i="8" s="1"/>
  <c r="H18" i="8"/>
  <c r="I18" i="8" s="1"/>
  <c r="J18" i="8" s="1"/>
  <c r="E18" i="8"/>
  <c r="F18" i="8" s="1"/>
  <c r="G18" i="8" s="1"/>
  <c r="B18" i="8"/>
  <c r="C18" i="8" s="1"/>
  <c r="D18" i="8" s="1"/>
  <c r="R17" i="8"/>
  <c r="Q17" i="8"/>
  <c r="N17" i="8"/>
  <c r="K17" i="8"/>
  <c r="L17" i="8" s="1"/>
  <c r="M17" i="8" s="1"/>
  <c r="H17" i="8"/>
  <c r="I17" i="8" s="1"/>
  <c r="J17" i="8" s="1"/>
  <c r="E17" i="8"/>
  <c r="B17" i="8"/>
  <c r="U16" i="8"/>
  <c r="R16" i="8"/>
  <c r="N16" i="8"/>
  <c r="O16" i="8" s="1"/>
  <c r="P16" i="8" s="1"/>
  <c r="K16" i="8"/>
  <c r="H16" i="8"/>
  <c r="I16" i="8" s="1"/>
  <c r="J16" i="8" s="1"/>
  <c r="E16" i="8"/>
  <c r="F16" i="8" s="1"/>
  <c r="G16" i="8" s="1"/>
  <c r="B16" i="8"/>
  <c r="C16" i="8" s="1"/>
  <c r="D16" i="8" s="1"/>
  <c r="R15" i="8"/>
  <c r="Q15" i="8"/>
  <c r="N15" i="8"/>
  <c r="O15" i="8" s="1"/>
  <c r="P15" i="8" s="1"/>
  <c r="K15" i="8"/>
  <c r="L15" i="8" s="1"/>
  <c r="M15" i="8" s="1"/>
  <c r="H15" i="8"/>
  <c r="I15" i="8" s="1"/>
  <c r="J15" i="8" s="1"/>
  <c r="E15" i="8"/>
  <c r="F15" i="8"/>
  <c r="G15" i="8" s="1"/>
  <c r="B15" i="8"/>
  <c r="C15" i="8" s="1"/>
  <c r="D15" i="8" s="1"/>
  <c r="B14" i="8"/>
  <c r="C14" i="8"/>
  <c r="D14" i="8" s="1"/>
  <c r="K14" i="8"/>
  <c r="L14" i="8" s="1"/>
  <c r="M14" i="8" s="1"/>
  <c r="N14" i="8"/>
  <c r="O14" i="8" s="1"/>
  <c r="P14" i="8" s="1"/>
  <c r="H14" i="8"/>
  <c r="I14" i="8" s="1"/>
  <c r="J14" i="8" s="1"/>
  <c r="E14" i="8"/>
  <c r="F14" i="8" s="1"/>
  <c r="G14" i="8" s="1"/>
  <c r="R14" i="8"/>
  <c r="U14" i="8"/>
  <c r="Q14" i="8"/>
  <c r="U13" i="8"/>
  <c r="R13" i="8"/>
  <c r="Q13" i="8"/>
  <c r="N13" i="8"/>
  <c r="O13" i="8" s="1"/>
  <c r="P13" i="8" s="1"/>
  <c r="K13" i="8"/>
  <c r="L13" i="8" s="1"/>
  <c r="M13" i="8" s="1"/>
  <c r="H13" i="8"/>
  <c r="I13" i="8" s="1"/>
  <c r="J13" i="8" s="1"/>
  <c r="E13" i="8"/>
  <c r="B13" i="8"/>
  <c r="U12" i="8"/>
  <c r="R12" i="8"/>
  <c r="Q12" i="8"/>
  <c r="N12" i="8"/>
  <c r="O12" i="8" s="1"/>
  <c r="P12" i="8" s="1"/>
  <c r="K12" i="8"/>
  <c r="L12" i="8" s="1"/>
  <c r="M12" i="8" s="1"/>
  <c r="H12" i="8"/>
  <c r="E12" i="8"/>
  <c r="F12" i="8" s="1"/>
  <c r="G12" i="8" s="1"/>
  <c r="B12" i="8"/>
  <c r="C12" i="8" s="1"/>
  <c r="D12" i="8" s="1"/>
  <c r="R11" i="8"/>
  <c r="Q11" i="8"/>
  <c r="K11" i="8"/>
  <c r="H11" i="8"/>
  <c r="E11" i="8"/>
  <c r="B11" i="8"/>
  <c r="R10" i="8"/>
  <c r="Q10" i="8"/>
  <c r="K10" i="8"/>
  <c r="L10" i="8" s="1"/>
  <c r="M10" i="8" s="1"/>
  <c r="H10" i="8"/>
  <c r="I10" i="8" s="1"/>
  <c r="J10" i="8" s="1"/>
  <c r="E10" i="8"/>
  <c r="F10" i="8" s="1"/>
  <c r="G10" i="8" s="1"/>
  <c r="B10" i="8"/>
  <c r="C10" i="8" s="1"/>
  <c r="D10" i="8" s="1"/>
  <c r="R9" i="8"/>
  <c r="O9" i="8"/>
  <c r="P9" i="8" s="1"/>
  <c r="K4" i="8"/>
  <c r="H4" i="8"/>
  <c r="I4" i="8" s="1"/>
  <c r="J4" i="8" s="1"/>
  <c r="E4" i="8"/>
  <c r="F4" i="8" s="1"/>
  <c r="G4" i="8" s="1"/>
  <c r="B4" i="8"/>
  <c r="C4" i="8" s="1"/>
  <c r="D4" i="8" s="1"/>
  <c r="L4" i="8"/>
  <c r="M4" i="8" s="1"/>
  <c r="R4" i="8"/>
  <c r="U3" i="8"/>
  <c r="U9" i="8"/>
  <c r="Q9" i="8"/>
  <c r="K9" i="8"/>
  <c r="L9" i="8" s="1"/>
  <c r="M9" i="8" s="1"/>
  <c r="H9" i="8"/>
  <c r="I9" i="8" s="1"/>
  <c r="J9" i="8" s="1"/>
  <c r="E9" i="8"/>
  <c r="F9" i="8" s="1"/>
  <c r="G9" i="8" s="1"/>
  <c r="B9" i="8"/>
  <c r="C9" i="8" s="1"/>
  <c r="D9" i="8" s="1"/>
  <c r="U8" i="8"/>
  <c r="U6" i="8"/>
  <c r="E8" i="8"/>
  <c r="F8" i="8" s="1"/>
  <c r="G8" i="8" s="1"/>
  <c r="R8" i="8"/>
  <c r="K8" i="8"/>
  <c r="L8" i="8" s="1"/>
  <c r="M8" i="8" s="1"/>
  <c r="H8" i="8"/>
  <c r="I8" i="8" s="1"/>
  <c r="J8" i="8" s="1"/>
  <c r="B8" i="8"/>
  <c r="C8" i="8" s="1"/>
  <c r="D8" i="8" s="1"/>
  <c r="R7" i="8"/>
  <c r="S7" i="8"/>
  <c r="U7" i="8"/>
  <c r="Q7" i="8"/>
  <c r="N7" i="8"/>
  <c r="O7" i="8" s="1"/>
  <c r="P7" i="8" s="1"/>
  <c r="K7" i="8"/>
  <c r="L7" i="8" s="1"/>
  <c r="M7" i="8" s="1"/>
  <c r="H7" i="8"/>
  <c r="E7" i="8"/>
  <c r="F7" i="8" s="1"/>
  <c r="G7" i="8" s="1"/>
  <c r="B7" i="8"/>
  <c r="C7" i="8" s="1"/>
  <c r="D7" i="8" s="1"/>
  <c r="R6" i="8"/>
  <c r="Q6" i="8"/>
  <c r="K6" i="8"/>
  <c r="H6" i="8"/>
  <c r="E6" i="8"/>
  <c r="F6" i="8" s="1"/>
  <c r="G6" i="8" s="1"/>
  <c r="B6" i="8"/>
  <c r="C6" i="8" s="1"/>
  <c r="D6" i="8" s="1"/>
  <c r="R5" i="8"/>
  <c r="Q5" i="8"/>
  <c r="K5" i="8"/>
  <c r="L5" i="8" s="1"/>
  <c r="M5" i="8" s="1"/>
  <c r="H5" i="8"/>
  <c r="E5" i="8"/>
  <c r="B5" i="8"/>
  <c r="C5" i="8" s="1"/>
  <c r="D5" i="8" s="1"/>
  <c r="U4" i="8"/>
  <c r="Q4" i="8"/>
  <c r="O4" i="8"/>
  <c r="P4" i="8" s="1"/>
  <c r="R3" i="8"/>
  <c r="Q3" i="8"/>
  <c r="N3" i="8"/>
  <c r="K3" i="8"/>
  <c r="L3" i="8" s="1"/>
  <c r="M3" i="8" s="1"/>
  <c r="H3" i="8"/>
  <c r="E3" i="8"/>
  <c r="F3" i="8" s="1"/>
  <c r="G3" i="8" s="1"/>
  <c r="B3" i="8"/>
  <c r="C3" i="8" s="1"/>
  <c r="D3" i="8" s="1"/>
  <c r="L22" i="8"/>
  <c r="M22" i="8" s="1"/>
  <c r="I22" i="8"/>
  <c r="J22" i="8" s="1"/>
  <c r="F22" i="8"/>
  <c r="G22" i="8" s="1"/>
  <c r="I21" i="8"/>
  <c r="J21" i="8" s="1"/>
  <c r="C21" i="8"/>
  <c r="D21" i="8" s="1"/>
  <c r="O17" i="8"/>
  <c r="P17" i="8" s="1"/>
  <c r="F17" i="8"/>
  <c r="G17" i="8" s="1"/>
  <c r="C17" i="8"/>
  <c r="D17" i="8" s="1"/>
  <c r="L16" i="8"/>
  <c r="M16" i="8" s="1"/>
  <c r="F13" i="8"/>
  <c r="G13" i="8" s="1"/>
  <c r="C13" i="8"/>
  <c r="D13" i="8" s="1"/>
  <c r="O11" i="8"/>
  <c r="P11" i="8" s="1"/>
  <c r="L11" i="8"/>
  <c r="M11" i="8" s="1"/>
  <c r="I11" i="8"/>
  <c r="J11" i="8" s="1"/>
  <c r="F11" i="8"/>
  <c r="G11" i="8" s="1"/>
  <c r="C11" i="8"/>
  <c r="D11" i="8" s="1"/>
  <c r="O10" i="8"/>
  <c r="P10" i="8" s="1"/>
  <c r="O8" i="8"/>
  <c r="P8" i="8" s="1"/>
  <c r="I7" i="8"/>
  <c r="J7" i="8" s="1"/>
  <c r="O6" i="8"/>
  <c r="P6" i="8" s="1"/>
  <c r="L6" i="8"/>
  <c r="M6" i="8" s="1"/>
  <c r="I6" i="8"/>
  <c r="J6" i="8" s="1"/>
  <c r="O5" i="8"/>
  <c r="P5" i="8" s="1"/>
  <c r="I5" i="8"/>
  <c r="J5" i="8" s="1"/>
  <c r="F5" i="8"/>
  <c r="G5" i="8" s="1"/>
  <c r="R26" i="7"/>
  <c r="Q26" i="7"/>
  <c r="K26" i="7"/>
  <c r="H26" i="7"/>
  <c r="E26" i="7"/>
  <c r="B26" i="7"/>
  <c r="U25" i="7"/>
  <c r="R25" i="7"/>
  <c r="Q25" i="7"/>
  <c r="K25" i="7"/>
  <c r="L25" i="7" s="1"/>
  <c r="M25" i="7" s="1"/>
  <c r="H25" i="7"/>
  <c r="E25" i="7"/>
  <c r="B25" i="7"/>
  <c r="C25" i="7" s="1"/>
  <c r="D25" i="7" s="1"/>
  <c r="E24" i="7"/>
  <c r="F24" i="7" s="1"/>
  <c r="G24" i="7" s="1"/>
  <c r="U24" i="7"/>
  <c r="R24" i="7"/>
  <c r="Q24" i="7"/>
  <c r="K24" i="7"/>
  <c r="L24" i="7" s="1"/>
  <c r="M24" i="7" s="1"/>
  <c r="H24" i="7"/>
  <c r="B24" i="7"/>
  <c r="R23" i="7"/>
  <c r="Q23" i="7"/>
  <c r="K23" i="7"/>
  <c r="H23" i="7"/>
  <c r="I23" i="7" s="1"/>
  <c r="J23" i="7" s="1"/>
  <c r="E23" i="7"/>
  <c r="B23" i="7"/>
  <c r="U22" i="7"/>
  <c r="R22" i="7"/>
  <c r="Q22" i="7"/>
  <c r="K22" i="7"/>
  <c r="H22" i="7"/>
  <c r="E22" i="7"/>
  <c r="B22" i="7"/>
  <c r="U21" i="7"/>
  <c r="R21" i="7"/>
  <c r="Q21" i="7"/>
  <c r="K21" i="7"/>
  <c r="L21" i="7" s="1"/>
  <c r="M21" i="7" s="1"/>
  <c r="H21" i="7"/>
  <c r="I21" i="7" s="1"/>
  <c r="J21" i="7" s="1"/>
  <c r="E21" i="7"/>
  <c r="F21" i="7" s="1"/>
  <c r="G21" i="7" s="1"/>
  <c r="B21" i="7"/>
  <c r="C21" i="7" s="1"/>
  <c r="D21" i="7" s="1"/>
  <c r="R20" i="7"/>
  <c r="Q20" i="7"/>
  <c r="K20" i="7"/>
  <c r="H20" i="7"/>
  <c r="I20" i="7" s="1"/>
  <c r="J20" i="7" s="1"/>
  <c r="E20" i="7"/>
  <c r="F20" i="7" s="1"/>
  <c r="G20" i="7" s="1"/>
  <c r="B20" i="7"/>
  <c r="U19" i="7"/>
  <c r="R19" i="7"/>
  <c r="Q19" i="7"/>
  <c r="N19" i="7"/>
  <c r="K19" i="7"/>
  <c r="H19" i="7"/>
  <c r="E19" i="7"/>
  <c r="F19" i="7" s="1"/>
  <c r="G19" i="7" s="1"/>
  <c r="B19" i="7"/>
  <c r="R18" i="7"/>
  <c r="Q18" i="7"/>
  <c r="K18" i="7"/>
  <c r="H18" i="7"/>
  <c r="E18" i="7"/>
  <c r="B18" i="7"/>
  <c r="C18" i="7" s="1"/>
  <c r="D18" i="7" s="1"/>
  <c r="U17" i="7"/>
  <c r="R17" i="7"/>
  <c r="K17" i="7"/>
  <c r="L17" i="7" s="1"/>
  <c r="M17" i="7" s="1"/>
  <c r="H17" i="7"/>
  <c r="E17" i="7"/>
  <c r="B17" i="7"/>
  <c r="C17" i="7" s="1"/>
  <c r="D17" i="7" s="1"/>
  <c r="U16" i="7"/>
  <c r="R16" i="7"/>
  <c r="Q16" i="7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S15" i="7"/>
  <c r="Q15" i="7"/>
  <c r="N15" i="7"/>
  <c r="O15" i="7" s="1"/>
  <c r="P15" i="7" s="1"/>
  <c r="K15" i="7"/>
  <c r="L15" i="7" s="1"/>
  <c r="M15" i="7" s="1"/>
  <c r="H15" i="7"/>
  <c r="I15" i="7" s="1"/>
  <c r="J15" i="7" s="1"/>
  <c r="E15" i="7"/>
  <c r="F15" i="7" s="1"/>
  <c r="G15" i="7" s="1"/>
  <c r="B15" i="7"/>
  <c r="C15" i="7"/>
  <c r="D15" i="7"/>
  <c r="U14" i="7"/>
  <c r="R14" i="7"/>
  <c r="Q14" i="7"/>
  <c r="K14" i="7"/>
  <c r="L14" i="7" s="1"/>
  <c r="M14" i="7" s="1"/>
  <c r="H14" i="7"/>
  <c r="E14" i="7"/>
  <c r="B14" i="7"/>
  <c r="C14" i="7" s="1"/>
  <c r="D14" i="7" s="1"/>
  <c r="U13" i="7"/>
  <c r="R13" i="7"/>
  <c r="Q13" i="7"/>
  <c r="N13" i="7"/>
  <c r="O13" i="7" s="1"/>
  <c r="P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K12" i="7"/>
  <c r="L12" i="7" s="1"/>
  <c r="M12" i="7" s="1"/>
  <c r="H12" i="7"/>
  <c r="I12" i="7" s="1"/>
  <c r="J12" i="7" s="1"/>
  <c r="E12" i="7"/>
  <c r="F12" i="7" s="1"/>
  <c r="G12" i="7" s="1"/>
  <c r="B12" i="7"/>
  <c r="C12" i="7" s="1"/>
  <c r="D12" i="7" s="1"/>
  <c r="N11" i="7"/>
  <c r="O11" i="7" s="1"/>
  <c r="P11" i="7" s="1"/>
  <c r="U11" i="7"/>
  <c r="R11" i="7"/>
  <c r="Q11" i="7"/>
  <c r="K11" i="7"/>
  <c r="H11" i="7"/>
  <c r="E11" i="7"/>
  <c r="F11" i="7" s="1"/>
  <c r="G11" i="7" s="1"/>
  <c r="B11" i="7"/>
  <c r="C11" i="7" s="1"/>
  <c r="D11" i="7" s="1"/>
  <c r="R10" i="7"/>
  <c r="Q10" i="7"/>
  <c r="K10" i="7"/>
  <c r="L10" i="7" s="1"/>
  <c r="M10" i="7" s="1"/>
  <c r="H10" i="7"/>
  <c r="I10" i="7" s="1"/>
  <c r="J10" i="7" s="1"/>
  <c r="E10" i="7"/>
  <c r="F10" i="7" s="1"/>
  <c r="G10" i="7" s="1"/>
  <c r="B10" i="7"/>
  <c r="C10" i="7" s="1"/>
  <c r="D10" i="7" s="1"/>
  <c r="R5" i="7"/>
  <c r="Q5" i="7"/>
  <c r="K5" i="7"/>
  <c r="H5" i="7"/>
  <c r="E5" i="7"/>
  <c r="F5" i="7" s="1"/>
  <c r="G5" i="7" s="1"/>
  <c r="B5" i="7"/>
  <c r="C5" i="7" s="1"/>
  <c r="D5" i="7" s="1"/>
  <c r="U4" i="7"/>
  <c r="R4" i="7"/>
  <c r="N4" i="7"/>
  <c r="O4" i="7" s="1"/>
  <c r="P4" i="7" s="1"/>
  <c r="K4" i="7"/>
  <c r="L4" i="7" s="1"/>
  <c r="M4" i="7" s="1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C6" i="7" s="1"/>
  <c r="D6" i="7" s="1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C9" i="7" s="1"/>
  <c r="D9" i="7" s="1"/>
  <c r="R8" i="7"/>
  <c r="Q8" i="7"/>
  <c r="K8" i="7"/>
  <c r="H8" i="7"/>
  <c r="I8" i="7" s="1"/>
  <c r="J8" i="7" s="1"/>
  <c r="E8" i="7"/>
  <c r="B8" i="7"/>
  <c r="C8" i="7" s="1"/>
  <c r="D8" i="7" s="1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O17" i="7"/>
  <c r="P17" i="7" s="1"/>
  <c r="O18" i="7"/>
  <c r="P18" i="7" s="1"/>
  <c r="I17" i="7"/>
  <c r="J17" i="7" s="1"/>
  <c r="F17" i="7"/>
  <c r="G17" i="7" s="1"/>
  <c r="C19" i="7"/>
  <c r="D19" i="7" s="1"/>
  <c r="C20" i="7"/>
  <c r="D20" i="7" s="1"/>
  <c r="C22" i="7"/>
  <c r="D22" i="7" s="1"/>
  <c r="C23" i="7"/>
  <c r="D23" i="7" s="1"/>
  <c r="C24" i="7"/>
  <c r="D24" i="7" s="1"/>
  <c r="O18" i="5"/>
  <c r="O19" i="5"/>
  <c r="O20" i="5"/>
  <c r="I20" i="5"/>
  <c r="J20" i="5" s="1"/>
  <c r="F20" i="5"/>
  <c r="G20" i="5" s="1"/>
  <c r="C20" i="5"/>
  <c r="D20" i="5" s="1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I25" i="7"/>
  <c r="J25" i="7" s="1"/>
  <c r="F25" i="7"/>
  <c r="G25" i="7" s="1"/>
  <c r="O24" i="7"/>
  <c r="P24" i="7" s="1"/>
  <c r="I24" i="7"/>
  <c r="J24" i="7" s="1"/>
  <c r="O23" i="7"/>
  <c r="P23" i="7" s="1"/>
  <c r="L23" i="7"/>
  <c r="M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O20" i="7"/>
  <c r="P20" i="7" s="1"/>
  <c r="L20" i="7"/>
  <c r="M20" i="7" s="1"/>
  <c r="O19" i="7"/>
  <c r="P19" i="7" s="1"/>
  <c r="L19" i="7"/>
  <c r="M19" i="7" s="1"/>
  <c r="I19" i="7"/>
  <c r="J19" i="7" s="1"/>
  <c r="L18" i="7"/>
  <c r="M18" i="7" s="1"/>
  <c r="I18" i="7"/>
  <c r="J18" i="7" s="1"/>
  <c r="F18" i="7"/>
  <c r="G18" i="7" s="1"/>
  <c r="O16" i="7"/>
  <c r="P16" i="7" s="1"/>
  <c r="L16" i="7"/>
  <c r="M16" i="7" s="1"/>
  <c r="O14" i="7"/>
  <c r="P14" i="7" s="1"/>
  <c r="I14" i="7"/>
  <c r="J14" i="7" s="1"/>
  <c r="F14" i="7"/>
  <c r="G14" i="7" s="1"/>
  <c r="L13" i="7"/>
  <c r="M13" i="7" s="1"/>
  <c r="L11" i="7"/>
  <c r="M11" i="7" s="1"/>
  <c r="I11" i="7"/>
  <c r="J11" i="7" s="1"/>
  <c r="O10" i="7"/>
  <c r="P10" i="7" s="1"/>
  <c r="O9" i="7"/>
  <c r="P9" i="7" s="1"/>
  <c r="T27" i="7"/>
  <c r="O8" i="7"/>
  <c r="P8" i="7" s="1"/>
  <c r="L8" i="7"/>
  <c r="M8" i="7" s="1"/>
  <c r="F8" i="7"/>
  <c r="G8" i="7" s="1"/>
  <c r="O7" i="7"/>
  <c r="P7" i="7" s="1"/>
  <c r="O6" i="7"/>
  <c r="P6" i="7" s="1"/>
  <c r="O5" i="7"/>
  <c r="P5" i="7" s="1"/>
  <c r="L5" i="7"/>
  <c r="M5" i="7" s="1"/>
  <c r="I5" i="7"/>
  <c r="J5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H19" i="5"/>
  <c r="I19" i="5" s="1"/>
  <c r="J19" i="5" s="1"/>
  <c r="E19" i="5"/>
  <c r="B19" i="5"/>
  <c r="C19" i="5"/>
  <c r="D19" i="5" s="1"/>
  <c r="F19" i="5"/>
  <c r="G19" i="5"/>
  <c r="L19" i="5"/>
  <c r="M19" i="5"/>
  <c r="P19" i="5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P20" i="5"/>
  <c r="L20" i="5"/>
  <c r="M20" i="5" s="1"/>
  <c r="T30" i="8" l="1"/>
  <c r="H30" i="8"/>
  <c r="I30" i="8" s="1"/>
  <c r="J30" i="8" s="1"/>
  <c r="R30" i="8"/>
  <c r="I12" i="8"/>
  <c r="J12" i="8" s="1"/>
  <c r="U30" i="8"/>
  <c r="Q30" i="8"/>
  <c r="N30" i="8"/>
  <c r="O30" i="8" s="1"/>
  <c r="P30" i="8" s="1"/>
  <c r="O3" i="8"/>
  <c r="P3" i="8" s="1"/>
  <c r="B30" i="8"/>
  <c r="C30" i="8" s="1"/>
  <c r="D30" i="8" s="1"/>
  <c r="I3" i="8"/>
  <c r="J3" i="8" s="1"/>
  <c r="E30" i="8"/>
  <c r="F30" i="8" s="1"/>
  <c r="G30" i="8" s="1"/>
  <c r="K30" i="8"/>
  <c r="L30" i="8" s="1"/>
  <c r="M30" i="8" s="1"/>
  <c r="B27" i="7"/>
  <c r="C27" i="7" s="1"/>
  <c r="D27" i="7" s="1"/>
  <c r="N27" i="7"/>
  <c r="O27" i="7" s="1"/>
  <c r="P27" i="7" s="1"/>
  <c r="O12" i="7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U15" i="5" l="1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R12" i="5" l="1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<sst xmlns="http://schemas.openxmlformats.org/spreadsheetml/2006/main" count="162" uniqueCount="67">
  <si>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</si>
  <si>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</si>
  <si>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</si>
  <si>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</si>
  <si>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</si>
  <si>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</si>
  <si>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</si>
  <si>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</si>
  <si>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</si>
  <si>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</si>
  <si>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</si>
  <si>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</si>
  <si>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</si>
  <si>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</si>
  <si>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</si>
  <si>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</si>
  <si>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</si>
  <si>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</si>
  <si>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</si>
  <si>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</si>
  <si>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</si>
  <si>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</si>
  <si>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</si>
  <si>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</si>
  <si>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</si>
  <si>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</si>
  <si>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</si>
  <si>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</si>
  <si>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</si>
  <si>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</si>
  <si>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</si>
  <si>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</si>
  <si>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</si>
  <si>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</si>
  <si>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</si>
  <si>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</si>
  <si>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</si>
  <si>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</si>
  <si>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</si>
  <si>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</si>
  <si>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</si>
  <si>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</si>
  <si>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</si>
  <si>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</si>
  <si>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</si>
  <si>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</si>
  <si>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</si>
  <si>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</si>
  <si>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</si>
  <si>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</si>
  <si>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</si>
  <si>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</si>
  <si>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</si>
  <si>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138.0000 TL CARİ VAR BAĞ HAVALE</t>
  </si>
  <si>
    <t>2445 tl satış iptal
z den düşülmedi</t>
  </si>
  <si>
    <t>kk</t>
  </si>
  <si>
    <t>nkt</t>
  </si>
  <si>
    <t>ft</t>
  </si>
  <si>
    <t>tola</t>
  </si>
  <si>
    <t>kasa kahve</t>
  </si>
  <si>
    <t>%10luk</t>
  </si>
  <si>
    <t>%20/lik</t>
  </si>
  <si>
    <t>kdv</t>
  </si>
  <si>
    <t>ökc</t>
  </si>
  <si>
    <t>ks khv</t>
  </si>
  <si>
    <t>cari ft</t>
  </si>
  <si>
    <t>tevk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</si>
</sst>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11050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41" t="s">
        <v>8</v>
      </c>
      <c r="T1" s="42"/>
      <c r="U1" s="12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16" workbookViewId="0">
      <selection activeCell="A22" sqref="A22:XFD22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">
      <c r="A4" s="8">
        <v>45690</v>
      </c>
      <c r="B4" s="11">
        <f>33355+42425</f>
        <v>75780</v>
      </c>
      <c r="C4" s="9">
        <f t="shared" ref="C4:C28" si="0">B4/1.1</f>
        <v>68890.909090909088</v>
      </c>
      <c r="D4" s="9">
        <f t="shared" ref="D4:D28" si="1">C4*0.1</f>
        <v>6889.090909090909</v>
      </c>
      <c r="E4" s="11">
        <f>3550+8320</f>
        <v>11870</v>
      </c>
      <c r="F4" s="9">
        <f t="shared" ref="F4:F29" si="2">E4/1.2</f>
        <v>9891.6666666666679</v>
      </c>
      <c r="G4" s="9">
        <f t="shared" ref="G4:G28" si="3">F4*0.2</f>
        <v>1978.3333333333337</v>
      </c>
      <c r="H4" s="11">
        <f>860+1195</f>
        <v>2055</v>
      </c>
      <c r="I4" s="9">
        <f t="shared" ref="I4:I29" si="4">H4/1.1</f>
        <v>1868.181818181818</v>
      </c>
      <c r="J4" s="9">
        <f t="shared" ref="J4:J28" si="5">I4*0.1</f>
        <v>186.81818181818181</v>
      </c>
      <c r="K4" s="11">
        <f>1600+2100</f>
        <v>3700</v>
      </c>
      <c r="L4" s="9">
        <f t="shared" ref="L4:L29" si="6">K4/1.2</f>
        <v>3083.3333333333335</v>
      </c>
      <c r="M4" s="9">
        <f t="shared" ref="M4:M28" si="7">L4*0.2</f>
        <v>616.66666666666674</v>
      </c>
      <c r="N4" s="11">
        <f>310+200</f>
        <v>510</v>
      </c>
      <c r="O4" s="9">
        <f t="shared" ref="O4:O29" si="8">N4/1.2</f>
        <v>425</v>
      </c>
      <c r="P4" s="9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9">
        <v>0</v>
      </c>
      <c r="U4" s="17">
        <v>2700</v>
      </c>
      <c r="V4" s="3"/>
    </row>
    <row r="5" spans="1:22" x14ac:dyDescent="0.3">
      <c r="A5" s="8">
        <v>45692</v>
      </c>
      <c r="B5" s="11">
        <v>29620</v>
      </c>
      <c r="C5" s="9">
        <f t="shared" si="0"/>
        <v>26927.272727272724</v>
      </c>
      <c r="D5" s="9">
        <f t="shared" si="1"/>
        <v>2692.7272727272725</v>
      </c>
      <c r="E5" s="11">
        <v>12615</v>
      </c>
      <c r="F5" s="9">
        <f t="shared" si="2"/>
        <v>10512.5</v>
      </c>
      <c r="G5" s="9">
        <f t="shared" si="3"/>
        <v>2102.5</v>
      </c>
      <c r="H5" s="11">
        <v>840</v>
      </c>
      <c r="I5" s="9">
        <f t="shared" si="4"/>
        <v>763.63636363636363</v>
      </c>
      <c r="J5" s="9">
        <f t="shared" si="5"/>
        <v>76.36363636363636</v>
      </c>
      <c r="K5" s="11">
        <v>3000</v>
      </c>
      <c r="L5" s="9">
        <f t="shared" si="6"/>
        <v>2500</v>
      </c>
      <c r="M5" s="9">
        <f t="shared" si="7"/>
        <v>500</v>
      </c>
      <c r="N5" s="9">
        <v>0</v>
      </c>
      <c r="O5" s="9">
        <f t="shared" si="8"/>
        <v>0</v>
      </c>
      <c r="P5" s="9">
        <f t="shared" si="9"/>
        <v>0</v>
      </c>
      <c r="Q5" s="11">
        <v>5975</v>
      </c>
      <c r="R5" s="11">
        <v>34685</v>
      </c>
      <c r="S5" s="11">
        <v>5415</v>
      </c>
      <c r="T5" s="9">
        <v>0</v>
      </c>
      <c r="U5" s="17">
        <v>15650</v>
      </c>
      <c r="V5" s="3"/>
    </row>
    <row r="6" spans="1:22" x14ac:dyDescent="0.3">
      <c r="A6" s="8">
        <v>45693</v>
      </c>
      <c r="B6" s="11">
        <f>6930+7000</f>
        <v>13930</v>
      </c>
      <c r="C6" s="9">
        <f t="shared" si="0"/>
        <v>12663.636363636362</v>
      </c>
      <c r="D6" s="9">
        <f t="shared" si="1"/>
        <v>1266.3636363636363</v>
      </c>
      <c r="E6" s="11">
        <f>3650+7000</f>
        <v>10650</v>
      </c>
      <c r="F6" s="9">
        <f t="shared" si="2"/>
        <v>8875</v>
      </c>
      <c r="G6" s="9">
        <f t="shared" si="3"/>
        <v>1775</v>
      </c>
      <c r="H6" s="9">
        <v>0</v>
      </c>
      <c r="I6" s="9">
        <f t="shared" si="4"/>
        <v>0</v>
      </c>
      <c r="J6" s="9">
        <f t="shared" si="5"/>
        <v>0</v>
      </c>
      <c r="K6" s="11">
        <v>900</v>
      </c>
      <c r="L6" s="9">
        <f t="shared" si="6"/>
        <v>750</v>
      </c>
      <c r="M6" s="9">
        <f t="shared" si="7"/>
        <v>150</v>
      </c>
      <c r="N6" s="9">
        <v>0</v>
      </c>
      <c r="O6" s="9">
        <f t="shared" si="8"/>
        <v>0</v>
      </c>
      <c r="P6" s="9">
        <f t="shared" si="9"/>
        <v>0</v>
      </c>
      <c r="Q6" s="11">
        <f>1985+1000+7000</f>
        <v>9985</v>
      </c>
      <c r="R6" s="11">
        <f>9495+6000</f>
        <v>15495</v>
      </c>
      <c r="S6" s="9">
        <v>0</v>
      </c>
      <c r="T6" s="9">
        <v>0</v>
      </c>
      <c r="U6" s="17">
        <f>23175+600</f>
        <v>23775</v>
      </c>
      <c r="V6" s="3"/>
    </row>
    <row r="7" spans="1:22" x14ac:dyDescent="0.3">
      <c r="A7" s="8">
        <v>45694</v>
      </c>
      <c r="B7" s="11">
        <f>900+39220</f>
        <v>40120</v>
      </c>
      <c r="C7" s="9">
        <f t="shared" si="0"/>
        <v>36472.727272727272</v>
      </c>
      <c r="D7" s="9">
        <f t="shared" si="1"/>
        <v>3647.2727272727275</v>
      </c>
      <c r="E7" s="11">
        <f>1850+2100+5025+19910</f>
        <v>28885</v>
      </c>
      <c r="F7" s="9">
        <f t="shared" si="2"/>
        <v>24070.833333333336</v>
      </c>
      <c r="G7" s="9">
        <f t="shared" si="3"/>
        <v>4814.166666666667</v>
      </c>
      <c r="H7" s="11">
        <f>1350+150+3395</f>
        <v>4895</v>
      </c>
      <c r="I7" s="9">
        <f t="shared" si="4"/>
        <v>4450</v>
      </c>
      <c r="J7" s="9">
        <f t="shared" si="5"/>
        <v>445</v>
      </c>
      <c r="K7" s="11">
        <f>800+400+3900</f>
        <v>5100</v>
      </c>
      <c r="L7" s="9">
        <f t="shared" si="6"/>
        <v>4250</v>
      </c>
      <c r="M7" s="9">
        <f t="shared" si="7"/>
        <v>850</v>
      </c>
      <c r="N7" s="11">
        <v>770</v>
      </c>
      <c r="O7" s="9">
        <f t="shared" si="8"/>
        <v>641.66666666666674</v>
      </c>
      <c r="P7" s="9">
        <f t="shared" si="9"/>
        <v>128.33333333333334</v>
      </c>
      <c r="Q7" s="9">
        <v>0</v>
      </c>
      <c r="R7" s="11">
        <f>4000+2100+6475+67195</f>
        <v>79770</v>
      </c>
      <c r="S7" s="9">
        <v>0</v>
      </c>
      <c r="T7" s="9">
        <v>0</v>
      </c>
      <c r="U7" s="17">
        <v>14960</v>
      </c>
      <c r="V7" s="15"/>
    </row>
    <row r="8" spans="1:22" x14ac:dyDescent="0.3">
      <c r="A8" s="8">
        <v>45695</v>
      </c>
      <c r="B8" s="11">
        <f>41110.77+3890+14180+4370</f>
        <v>63550.77</v>
      </c>
      <c r="C8" s="9">
        <f t="shared" si="0"/>
        <v>57773.427272727262</v>
      </c>
      <c r="D8" s="9">
        <f t="shared" si="1"/>
        <v>5777.3427272727267</v>
      </c>
      <c r="E8" s="11">
        <f>6555.77+4195+3950+8620+6985</f>
        <v>30305.77</v>
      </c>
      <c r="F8" s="9">
        <f t="shared" si="2"/>
        <v>25254.808333333334</v>
      </c>
      <c r="G8" s="9">
        <f t="shared" si="3"/>
        <v>5050.961666666667</v>
      </c>
      <c r="H8" s="11">
        <f>2515+425+1525+300</f>
        <v>4765</v>
      </c>
      <c r="I8" s="9">
        <f t="shared" si="4"/>
        <v>4331.8181818181811</v>
      </c>
      <c r="J8" s="9">
        <f t="shared" si="5"/>
        <v>433.18181818181813</v>
      </c>
      <c r="K8" s="11">
        <f>2838.46+600+1200+1600+600</f>
        <v>6838.46</v>
      </c>
      <c r="L8" s="9">
        <f t="shared" si="6"/>
        <v>5698.7166666666672</v>
      </c>
      <c r="M8" s="9">
        <f t="shared" si="7"/>
        <v>1139.7433333333336</v>
      </c>
      <c r="N8" s="11">
        <v>600</v>
      </c>
      <c r="O8" s="9">
        <f t="shared" si="8"/>
        <v>500</v>
      </c>
      <c r="P8" s="9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9">
        <v>0</v>
      </c>
      <c r="U8" s="17">
        <f>34000+20700+12940+22200</f>
        <v>89840</v>
      </c>
      <c r="V8" s="3"/>
    </row>
    <row r="9" spans="1:22" x14ac:dyDescent="0.3">
      <c r="A9" s="8">
        <v>45696</v>
      </c>
      <c r="B9" s="11">
        <f>52310.3+5510+18095</f>
        <v>75915.3</v>
      </c>
      <c r="C9" s="9">
        <f t="shared" si="0"/>
        <v>69013.909090909088</v>
      </c>
      <c r="D9" s="9">
        <f t="shared" si="1"/>
        <v>6901.3909090909092</v>
      </c>
      <c r="E9" s="11">
        <f>29643.02+10850+14530+11300+8970</f>
        <v>75293.02</v>
      </c>
      <c r="F9" s="9">
        <f t="shared" si="2"/>
        <v>62744.183333333342</v>
      </c>
      <c r="G9" s="9">
        <f t="shared" si="3"/>
        <v>12548.83666666667</v>
      </c>
      <c r="H9" s="11">
        <f>1095+75+165+1800+850</f>
        <v>3985</v>
      </c>
      <c r="I9" s="9">
        <f t="shared" si="4"/>
        <v>3622.7272727272725</v>
      </c>
      <c r="J9" s="9">
        <f t="shared" si="5"/>
        <v>362.27272727272725</v>
      </c>
      <c r="K9" s="11">
        <f>6536.68+2800+1800+3200+2000</f>
        <v>16336.68</v>
      </c>
      <c r="L9" s="9">
        <f t="shared" si="6"/>
        <v>13613.900000000001</v>
      </c>
      <c r="M9" s="9">
        <f t="shared" si="7"/>
        <v>2722.7800000000007</v>
      </c>
      <c r="N9" s="11">
        <f>195+600</f>
        <v>795</v>
      </c>
      <c r="O9" s="9">
        <f t="shared" si="8"/>
        <v>662.5</v>
      </c>
      <c r="P9" s="9">
        <f t="shared" si="9"/>
        <v>132.5</v>
      </c>
      <c r="Q9" s="11">
        <f>3900+275+600</f>
        <v>4775</v>
      </c>
      <c r="R9" s="16">
        <f>85880+14050+22005+15700+29915</f>
        <v>167550</v>
      </c>
      <c r="S9" s="20">
        <v>0</v>
      </c>
      <c r="T9" s="9">
        <v>0</v>
      </c>
      <c r="U9" s="11">
        <f>10915+21227</f>
        <v>32142</v>
      </c>
      <c r="V9" s="3"/>
    </row>
    <row r="10" spans="1:22" x14ac:dyDescent="0.3">
      <c r="A10" s="8">
        <v>45697</v>
      </c>
      <c r="B10" s="11">
        <f>13545+56930</f>
        <v>70475</v>
      </c>
      <c r="C10" s="9">
        <f t="shared" si="0"/>
        <v>64068.181818181816</v>
      </c>
      <c r="D10" s="9">
        <f t="shared" si="1"/>
        <v>6406.818181818182</v>
      </c>
      <c r="E10" s="11">
        <f>4740+9995+10100</f>
        <v>24835</v>
      </c>
      <c r="F10" s="9">
        <f t="shared" si="2"/>
        <v>20695.833333333336</v>
      </c>
      <c r="G10" s="9">
        <f t="shared" si="3"/>
        <v>4139.166666666667</v>
      </c>
      <c r="H10" s="11">
        <f>850+1945+850</f>
        <v>3645</v>
      </c>
      <c r="I10" s="9">
        <f t="shared" si="4"/>
        <v>3313.6363636363635</v>
      </c>
      <c r="J10" s="9">
        <f t="shared" si="5"/>
        <v>331.36363636363637</v>
      </c>
      <c r="K10" s="11">
        <f>1500+2950+1200</f>
        <v>5650</v>
      </c>
      <c r="L10" s="9">
        <f t="shared" si="6"/>
        <v>4708.3333333333339</v>
      </c>
      <c r="M10" s="9">
        <f t="shared" si="7"/>
        <v>941.66666666666686</v>
      </c>
      <c r="N10" s="11">
        <f>300+580+800</f>
        <v>1680</v>
      </c>
      <c r="O10" s="9">
        <f t="shared" si="8"/>
        <v>1400</v>
      </c>
      <c r="P10" s="9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9">
        <v>0</v>
      </c>
      <c r="U10" s="17">
        <v>21545</v>
      </c>
      <c r="V10" s="3"/>
    </row>
    <row r="11" spans="1:22" x14ac:dyDescent="0.3">
      <c r="A11" s="8">
        <v>45699</v>
      </c>
      <c r="B11" s="11">
        <f>3120+35080+4320</f>
        <v>42520</v>
      </c>
      <c r="C11" s="9">
        <f t="shared" si="0"/>
        <v>38654.545454545449</v>
      </c>
      <c r="D11" s="9">
        <f t="shared" si="1"/>
        <v>3865.454545454545</v>
      </c>
      <c r="E11" s="11">
        <f>7190+12165+4900</f>
        <v>24255</v>
      </c>
      <c r="F11" s="9">
        <f t="shared" ref="F11" si="10">E11/1.2</f>
        <v>20212.5</v>
      </c>
      <c r="G11" s="9">
        <f t="shared" ref="G11" si="11">F11*0.2</f>
        <v>4042.5</v>
      </c>
      <c r="H11" s="11">
        <f>1115</f>
        <v>1115</v>
      </c>
      <c r="I11" s="9">
        <f t="shared" ref="I11" si="12">H11/1.1</f>
        <v>1013.6363636363635</v>
      </c>
      <c r="J11" s="9">
        <f t="shared" ref="J11" si="13">I11*0.1</f>
        <v>101.36363636363636</v>
      </c>
      <c r="K11" s="11">
        <f>1300+3600+600</f>
        <v>5500</v>
      </c>
      <c r="L11" s="9">
        <f t="shared" ref="L11" si="14">K11/1.2</f>
        <v>4583.3333333333339</v>
      </c>
      <c r="M11" s="9">
        <f t="shared" ref="M11" si="15">L11*0.2</f>
        <v>916.66666666666686</v>
      </c>
      <c r="N11" s="11">
        <v>1000</v>
      </c>
      <c r="O11" s="9">
        <f t="shared" ref="O11" si="16">N11/1.2</f>
        <v>833.33333333333337</v>
      </c>
      <c r="P11" s="9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9">
        <v>0</v>
      </c>
      <c r="U11" s="17">
        <v>109940</v>
      </c>
      <c r="V11" s="3"/>
    </row>
    <row r="12" spans="1:22" x14ac:dyDescent="0.3">
      <c r="A12" s="8">
        <v>45700</v>
      </c>
      <c r="B12" s="11">
        <f>2810+16920</f>
        <v>19730</v>
      </c>
      <c r="C12" s="9">
        <f t="shared" si="0"/>
        <v>17936.363636363636</v>
      </c>
      <c r="D12" s="9">
        <f t="shared" si="1"/>
        <v>1793.6363636363637</v>
      </c>
      <c r="E12" s="11">
        <f>6686.75+7620</f>
        <v>14306.75</v>
      </c>
      <c r="F12" s="9">
        <f t="shared" si="2"/>
        <v>11922.291666666668</v>
      </c>
      <c r="G12" s="9">
        <f t="shared" si="3"/>
        <v>2384.4583333333335</v>
      </c>
      <c r="H12" s="11">
        <f>135.54+435</f>
        <v>570.54</v>
      </c>
      <c r="I12" s="9">
        <f t="shared" si="4"/>
        <v>518.67272727272723</v>
      </c>
      <c r="J12" s="9">
        <f t="shared" si="5"/>
        <v>51.867272727272727</v>
      </c>
      <c r="K12" s="11">
        <f>977.71+1800</f>
        <v>2777.71</v>
      </c>
      <c r="L12" s="9">
        <f t="shared" si="6"/>
        <v>2314.7583333333337</v>
      </c>
      <c r="M12" s="9">
        <f t="shared" si="7"/>
        <v>462.95166666666677</v>
      </c>
      <c r="N12" s="11">
        <v>600</v>
      </c>
      <c r="O12" s="9">
        <f t="shared" si="8"/>
        <v>500</v>
      </c>
      <c r="P12" s="9">
        <f t="shared" si="9"/>
        <v>100</v>
      </c>
      <c r="Q12" s="9">
        <v>0</v>
      </c>
      <c r="R12" s="11">
        <f>10610+27375</f>
        <v>37985</v>
      </c>
      <c r="S12" s="9">
        <v>0</v>
      </c>
      <c r="T12" s="9">
        <v>0</v>
      </c>
      <c r="U12" s="14">
        <v>0</v>
      </c>
      <c r="V12" s="18"/>
    </row>
    <row r="13" spans="1:22" x14ac:dyDescent="0.3">
      <c r="A13" s="8">
        <v>45699</v>
      </c>
      <c r="B13" s="11">
        <f>4320+3120+35080</f>
        <v>42520</v>
      </c>
      <c r="C13" s="9">
        <f t="shared" si="0"/>
        <v>38654.545454545449</v>
      </c>
      <c r="D13" s="9">
        <f t="shared" si="1"/>
        <v>3865.454545454545</v>
      </c>
      <c r="E13" s="11">
        <f>4900+7190+12165</f>
        <v>24255</v>
      </c>
      <c r="F13" s="9">
        <f t="shared" si="2"/>
        <v>20212.5</v>
      </c>
      <c r="G13" s="9">
        <f t="shared" si="3"/>
        <v>4042.5</v>
      </c>
      <c r="H13" s="11">
        <v>1115</v>
      </c>
      <c r="I13" s="9">
        <f t="shared" si="4"/>
        <v>1013.6363636363635</v>
      </c>
      <c r="J13" s="9">
        <f t="shared" si="5"/>
        <v>101.36363636363636</v>
      </c>
      <c r="K13" s="11">
        <f>600+1300+3600</f>
        <v>5500</v>
      </c>
      <c r="L13" s="9">
        <f t="shared" si="6"/>
        <v>4583.3333333333339</v>
      </c>
      <c r="M13" s="9">
        <f t="shared" si="7"/>
        <v>916.66666666666686</v>
      </c>
      <c r="N13" s="11">
        <v>1000</v>
      </c>
      <c r="O13" s="9">
        <f t="shared" si="8"/>
        <v>833.33333333333337</v>
      </c>
      <c r="P13" s="9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9">
        <v>0</v>
      </c>
      <c r="U13" s="17">
        <v>109940</v>
      </c>
      <c r="V13" s="18"/>
    </row>
    <row r="14" spans="1:22" x14ac:dyDescent="0.3">
      <c r="A14" s="8">
        <v>45700</v>
      </c>
      <c r="B14" s="11">
        <f>2810+16920</f>
        <v>19730</v>
      </c>
      <c r="C14" s="9">
        <f t="shared" si="0"/>
        <v>17936.363636363636</v>
      </c>
      <c r="D14" s="9">
        <f t="shared" si="1"/>
        <v>1793.6363636363637</v>
      </c>
      <c r="E14" s="11">
        <f>6686.75+7620</f>
        <v>14306.75</v>
      </c>
      <c r="F14" s="9">
        <f t="shared" si="2"/>
        <v>11922.291666666668</v>
      </c>
      <c r="G14" s="9">
        <f t="shared" si="3"/>
        <v>2384.4583333333335</v>
      </c>
      <c r="H14" s="11">
        <f>135.54+435</f>
        <v>570.54</v>
      </c>
      <c r="I14" s="9">
        <f t="shared" si="4"/>
        <v>518.67272727272723</v>
      </c>
      <c r="J14" s="9">
        <f t="shared" si="5"/>
        <v>51.867272727272727</v>
      </c>
      <c r="K14" s="11">
        <f>977.71+1800</f>
        <v>2777.71</v>
      </c>
      <c r="L14" s="9">
        <f t="shared" si="6"/>
        <v>2314.7583333333337</v>
      </c>
      <c r="M14" s="9">
        <f t="shared" si="7"/>
        <v>462.95166666666677</v>
      </c>
      <c r="N14" s="11">
        <v>600</v>
      </c>
      <c r="O14" s="9">
        <f t="shared" si="8"/>
        <v>500</v>
      </c>
      <c r="P14" s="9">
        <f t="shared" si="9"/>
        <v>100</v>
      </c>
      <c r="Q14" s="9">
        <v>0</v>
      </c>
      <c r="R14" s="11">
        <f>10610+27375</f>
        <v>37985</v>
      </c>
      <c r="S14" s="9">
        <v>0</v>
      </c>
      <c r="T14" s="9">
        <v>0</v>
      </c>
      <c r="U14" s="14">
        <v>0</v>
      </c>
      <c r="V14" s="3"/>
    </row>
    <row r="15" spans="1:22" x14ac:dyDescent="0.3">
      <c r="A15" s="8">
        <v>45701</v>
      </c>
      <c r="B15" s="11">
        <f>2070+56260</f>
        <v>58330</v>
      </c>
      <c r="C15" s="9">
        <f t="shared" si="0"/>
        <v>53027.272727272721</v>
      </c>
      <c r="D15" s="9">
        <f t="shared" si="1"/>
        <v>5302.7272727272721</v>
      </c>
      <c r="E15" s="11">
        <f>1200+11165</f>
        <v>12365</v>
      </c>
      <c r="F15" s="9">
        <f t="shared" si="2"/>
        <v>10304.166666666668</v>
      </c>
      <c r="G15" s="9">
        <f t="shared" si="3"/>
        <v>2060.8333333333335</v>
      </c>
      <c r="H15" s="11">
        <v>4635</v>
      </c>
      <c r="I15" s="9">
        <f t="shared" si="4"/>
        <v>4213.6363636363631</v>
      </c>
      <c r="J15" s="9">
        <f t="shared" si="5"/>
        <v>421.36363636363632</v>
      </c>
      <c r="K15" s="11">
        <f>400+450+4950</f>
        <v>5800</v>
      </c>
      <c r="L15" s="9">
        <f t="shared" si="6"/>
        <v>4833.3333333333339</v>
      </c>
      <c r="M15" s="9">
        <f t="shared" si="7"/>
        <v>966.66666666666686</v>
      </c>
      <c r="N15" s="11">
        <v>450</v>
      </c>
      <c r="O15" s="9">
        <f t="shared" si="8"/>
        <v>375</v>
      </c>
      <c r="P15" s="9">
        <f t="shared" si="9"/>
        <v>75</v>
      </c>
      <c r="Q15" s="11">
        <v>4380</v>
      </c>
      <c r="R15" s="11">
        <f>1600+2970+72630</f>
        <v>77200</v>
      </c>
      <c r="S15" s="9">
        <v>0</v>
      </c>
      <c r="T15" s="9">
        <v>0</v>
      </c>
      <c r="U15" s="14">
        <v>0</v>
      </c>
      <c r="V15" s="3"/>
    </row>
    <row r="16" spans="1:22" x14ac:dyDescent="0.3">
      <c r="A16" s="8">
        <v>45702</v>
      </c>
      <c r="B16" s="11">
        <f>13782.43+69318.17+23450.8+21898.06</f>
        <v>128449.46</v>
      </c>
      <c r="C16" s="9">
        <f t="shared" si="0"/>
        <v>116772.23636363636</v>
      </c>
      <c r="D16" s="9">
        <f t="shared" si="1"/>
        <v>11677.223636363637</v>
      </c>
      <c r="E16" s="11">
        <f>4431.45+16474.67+9248.23+12997.08</f>
        <v>43151.43</v>
      </c>
      <c r="F16" s="9">
        <f t="shared" si="2"/>
        <v>35959.525000000001</v>
      </c>
      <c r="G16" s="9">
        <f t="shared" si="3"/>
        <v>7191.9050000000007</v>
      </c>
      <c r="H16" s="11">
        <f>645.44+1842.47+721.07+75</f>
        <v>3283.98</v>
      </c>
      <c r="I16" s="9">
        <f t="shared" si="4"/>
        <v>2985.4363636363632</v>
      </c>
      <c r="J16" s="9">
        <f t="shared" si="5"/>
        <v>298.54363636363632</v>
      </c>
      <c r="K16" s="11">
        <f>590.68+3383.56+1275.23+2980.01</f>
        <v>8229.48</v>
      </c>
      <c r="L16" s="9">
        <f t="shared" si="6"/>
        <v>6857.9</v>
      </c>
      <c r="M16" s="9">
        <f t="shared" si="7"/>
        <v>1371.58</v>
      </c>
      <c r="N16" s="11">
        <f>9096.13+3234.67+2159.85</f>
        <v>14490.65</v>
      </c>
      <c r="O16" s="9">
        <f t="shared" si="8"/>
        <v>12075.541666666666</v>
      </c>
      <c r="P16" s="9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">
      <c r="A17" s="8">
        <v>45703</v>
      </c>
      <c r="B17" s="11">
        <f>102261.79+6670+10460</f>
        <v>119391.79</v>
      </c>
      <c r="C17" s="9">
        <f t="shared" si="0"/>
        <v>108537.99090909089</v>
      </c>
      <c r="D17" s="9">
        <f t="shared" si="1"/>
        <v>10853.79909090909</v>
      </c>
      <c r="E17" s="11">
        <f>25812.48+14000+8085+4790</f>
        <v>52687.479999999996</v>
      </c>
      <c r="F17" s="9">
        <f t="shared" si="2"/>
        <v>43906.23333333333</v>
      </c>
      <c r="G17" s="9">
        <f t="shared" si="3"/>
        <v>8781.246666666666</v>
      </c>
      <c r="H17" s="11">
        <f>7175+925+300+90</f>
        <v>8490</v>
      </c>
      <c r="I17" s="9">
        <f t="shared" si="4"/>
        <v>7718.1818181818171</v>
      </c>
      <c r="J17" s="9">
        <f t="shared" si="5"/>
        <v>771.81818181818176</v>
      </c>
      <c r="K17" s="11">
        <f>9244.73+3450+2600+1050</f>
        <v>16344.73</v>
      </c>
      <c r="L17" s="9">
        <f t="shared" si="6"/>
        <v>13620.608333333334</v>
      </c>
      <c r="M17" s="9">
        <f t="shared" si="7"/>
        <v>2724.1216666666669</v>
      </c>
      <c r="N17" s="11">
        <v>500</v>
      </c>
      <c r="O17" s="9">
        <f t="shared" si="8"/>
        <v>416.66666666666669</v>
      </c>
      <c r="P17" s="9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9">
        <v>0</v>
      </c>
      <c r="T17" s="9">
        <v>0</v>
      </c>
      <c r="U17" s="17">
        <v>14170</v>
      </c>
      <c r="V17" s="3"/>
    </row>
    <row r="18" spans="1:22" x14ac:dyDescent="0.3">
      <c r="A18" s="8">
        <v>45704</v>
      </c>
      <c r="B18" s="11">
        <f>85950</f>
        <v>85950</v>
      </c>
      <c r="C18" s="9">
        <f t="shared" si="0"/>
        <v>78136.363636363632</v>
      </c>
      <c r="D18" s="9">
        <f t="shared" si="1"/>
        <v>7813.636363636364</v>
      </c>
      <c r="E18" s="11">
        <v>9885</v>
      </c>
      <c r="F18" s="9">
        <f t="shared" si="2"/>
        <v>8237.5</v>
      </c>
      <c r="G18" s="9">
        <f t="shared" si="3"/>
        <v>1647.5</v>
      </c>
      <c r="H18" s="11">
        <v>3415</v>
      </c>
      <c r="I18" s="9">
        <f t="shared" si="4"/>
        <v>3104.5454545454545</v>
      </c>
      <c r="J18" s="9">
        <f t="shared" si="5"/>
        <v>310.4545454545455</v>
      </c>
      <c r="K18" s="11">
        <v>4350</v>
      </c>
      <c r="L18" s="9">
        <f t="shared" si="6"/>
        <v>3625</v>
      </c>
      <c r="M18" s="9">
        <f t="shared" si="7"/>
        <v>725</v>
      </c>
      <c r="N18" s="9">
        <v>0</v>
      </c>
      <c r="O18" s="9">
        <f t="shared" si="8"/>
        <v>0</v>
      </c>
      <c r="P18" s="9">
        <f t="shared" si="9"/>
        <v>0</v>
      </c>
      <c r="Q18" s="11">
        <v>1800</v>
      </c>
      <c r="R18" s="11">
        <v>101800</v>
      </c>
      <c r="S18" s="9">
        <v>0</v>
      </c>
      <c r="T18" s="11">
        <v>12000</v>
      </c>
      <c r="U18" s="17">
        <v>28870</v>
      </c>
      <c r="V18" s="3"/>
    </row>
    <row r="19" spans="1:22" x14ac:dyDescent="0.3">
      <c r="A19" s="8">
        <v>45706</v>
      </c>
      <c r="B19" s="11">
        <v>33790</v>
      </c>
      <c r="C19" s="9">
        <f t="shared" si="0"/>
        <v>30718.181818181816</v>
      </c>
      <c r="D19" s="9">
        <f t="shared" si="1"/>
        <v>3071.818181818182</v>
      </c>
      <c r="E19" s="11">
        <f>1250+13865</f>
        <v>15115</v>
      </c>
      <c r="F19" s="9">
        <f t="shared" si="2"/>
        <v>12595.833333333334</v>
      </c>
      <c r="G19" s="9">
        <f t="shared" si="3"/>
        <v>2519.166666666667</v>
      </c>
      <c r="H19" s="11">
        <v>375</v>
      </c>
      <c r="I19" s="9">
        <f t="shared" si="4"/>
        <v>340.90909090909088</v>
      </c>
      <c r="J19" s="9">
        <f t="shared" si="5"/>
        <v>34.090909090909086</v>
      </c>
      <c r="K19" s="11">
        <f>400+2700</f>
        <v>3100</v>
      </c>
      <c r="L19" s="9">
        <f t="shared" si="6"/>
        <v>2583.3333333333335</v>
      </c>
      <c r="M19" s="9">
        <f t="shared" si="7"/>
        <v>516.66666666666674</v>
      </c>
      <c r="N19" s="9">
        <v>0</v>
      </c>
      <c r="O19" s="9">
        <f t="shared" si="8"/>
        <v>0</v>
      </c>
      <c r="P19" s="9">
        <f t="shared" si="9"/>
        <v>0</v>
      </c>
      <c r="Q19" s="11">
        <v>5000</v>
      </c>
      <c r="R19" s="11">
        <f>1650+41485</f>
        <v>43135</v>
      </c>
      <c r="S19" s="11">
        <v>4245</v>
      </c>
      <c r="T19" s="9">
        <v>0</v>
      </c>
      <c r="U19" s="17">
        <v>34500</v>
      </c>
      <c r="V19" s="3"/>
    </row>
    <row r="20" spans="1:22" x14ac:dyDescent="0.3">
      <c r="A20" s="8">
        <v>45707</v>
      </c>
      <c r="B20" s="11">
        <f>21320+11344.59+2780</f>
        <v>35444.589999999997</v>
      </c>
      <c r="C20" s="9">
        <f t="shared" si="0"/>
        <v>32222.354545454538</v>
      </c>
      <c r="D20" s="9">
        <f t="shared" si="1"/>
        <v>3222.2354545454541</v>
      </c>
      <c r="E20" s="11">
        <f>9065+4100+2400+3900</f>
        <v>19465</v>
      </c>
      <c r="F20" s="9">
        <f t="shared" si="2"/>
        <v>16220.833333333334</v>
      </c>
      <c r="G20" s="9">
        <f t="shared" si="3"/>
        <v>3244.166666666667</v>
      </c>
      <c r="H20" s="11">
        <f>270+1700+850+425</f>
        <v>3245</v>
      </c>
      <c r="I20" s="9">
        <f t="shared" si="4"/>
        <v>2949.9999999999995</v>
      </c>
      <c r="J20" s="9">
        <f t="shared" si="5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7"/>
        <v>863.98500000000013</v>
      </c>
      <c r="N20" s="11">
        <v>690</v>
      </c>
      <c r="O20" s="9">
        <f t="shared" si="8"/>
        <v>575</v>
      </c>
      <c r="P20" s="9">
        <f t="shared" si="9"/>
        <v>115</v>
      </c>
      <c r="Q20" s="9">
        <v>0</v>
      </c>
      <c r="R20" s="11">
        <f>33445+18728.5+6730+5125</f>
        <v>64028.5</v>
      </c>
      <c r="S20" s="9">
        <v>0</v>
      </c>
      <c r="T20" s="9">
        <v>0</v>
      </c>
      <c r="U20" s="17">
        <f>11090+32330+37275</f>
        <v>80695</v>
      </c>
      <c r="V20" s="3"/>
    </row>
    <row r="21" spans="1:22" x14ac:dyDescent="0.3">
      <c r="A21" s="8">
        <v>45708</v>
      </c>
      <c r="B21" s="11">
        <f>30650+250</f>
        <v>30900</v>
      </c>
      <c r="C21" s="9">
        <f t="shared" si="0"/>
        <v>28090.909090909088</v>
      </c>
      <c r="D21" s="9">
        <f t="shared" si="1"/>
        <v>2809.090909090909</v>
      </c>
      <c r="E21" s="11">
        <f>11750+3000+3450</f>
        <v>18200</v>
      </c>
      <c r="F21" s="9">
        <f t="shared" si="2"/>
        <v>15166.666666666668</v>
      </c>
      <c r="G21" s="9">
        <f t="shared" si="3"/>
        <v>3033.3333333333339</v>
      </c>
      <c r="H21" s="11">
        <f>2630</f>
        <v>2630</v>
      </c>
      <c r="I21" s="9">
        <f t="shared" si="4"/>
        <v>2390.9090909090905</v>
      </c>
      <c r="J21" s="9">
        <f t="shared" si="5"/>
        <v>239.09090909090907</v>
      </c>
      <c r="K21" s="11">
        <f>3100+600+400</f>
        <v>4100</v>
      </c>
      <c r="L21" s="9">
        <f t="shared" si="6"/>
        <v>3416.666666666667</v>
      </c>
      <c r="M21" s="9">
        <f t="shared" si="7"/>
        <v>683.33333333333348</v>
      </c>
      <c r="N21" s="9">
        <v>0</v>
      </c>
      <c r="O21" s="9">
        <f t="shared" si="8"/>
        <v>0</v>
      </c>
      <c r="P21" s="9">
        <f t="shared" si="9"/>
        <v>0</v>
      </c>
      <c r="Q21" s="9">
        <v>0</v>
      </c>
      <c r="R21" s="11">
        <f>41035+3600+4100</f>
        <v>48735</v>
      </c>
      <c r="S21" s="11">
        <v>7095</v>
      </c>
      <c r="T21" s="9">
        <v>0</v>
      </c>
      <c r="U21" s="17">
        <v>10350</v>
      </c>
      <c r="V21" s="3"/>
    </row>
    <row r="22" spans="1:22" x14ac:dyDescent="0.3">
      <c r="A22" s="8">
        <v>45709</v>
      </c>
      <c r="B22" s="11">
        <f>1185+42800</f>
        <v>43985</v>
      </c>
      <c r="C22" s="9">
        <f t="shared" si="0"/>
        <v>39986.363636363632</v>
      </c>
      <c r="D22" s="9">
        <f t="shared" si="1"/>
        <v>3998.6363636363635</v>
      </c>
      <c r="E22" s="11">
        <f>4725+1850+8000+5400+8675</f>
        <v>28650</v>
      </c>
      <c r="F22" s="9">
        <f t="shared" si="2"/>
        <v>23875</v>
      </c>
      <c r="G22" s="9">
        <f t="shared" si="3"/>
        <v>4775</v>
      </c>
      <c r="H22" s="11">
        <f>810+75</f>
        <v>885</v>
      </c>
      <c r="I22" s="9">
        <f t="shared" si="4"/>
        <v>804.5454545454545</v>
      </c>
      <c r="J22" s="9">
        <f t="shared" si="5"/>
        <v>80.454545454545453</v>
      </c>
      <c r="K22" s="11">
        <f>800+450+3450+1000+1000</f>
        <v>6700</v>
      </c>
      <c r="L22" s="9">
        <f t="shared" si="6"/>
        <v>5583.3333333333339</v>
      </c>
      <c r="M22" s="9">
        <f t="shared" si="7"/>
        <v>1116.6666666666667</v>
      </c>
      <c r="N22" s="11">
        <f>300+150</f>
        <v>450</v>
      </c>
      <c r="O22" s="9">
        <f t="shared" si="8"/>
        <v>375</v>
      </c>
      <c r="P22" s="9">
        <f t="shared" si="9"/>
        <v>75</v>
      </c>
      <c r="Q22" s="11">
        <v>800</v>
      </c>
      <c r="R22" s="11">
        <f>5825+3485+55060+5600+9900</f>
        <v>79870</v>
      </c>
      <c r="S22" s="9">
        <v>0</v>
      </c>
      <c r="T22" s="11">
        <v>3625</v>
      </c>
      <c r="U22" s="17">
        <f>19510+1850+16355+6300</f>
        <v>44015</v>
      </c>
      <c r="V22" s="3"/>
    </row>
    <row r="23" spans="1:22" x14ac:dyDescent="0.3">
      <c r="A23" s="8">
        <v>45710</v>
      </c>
      <c r="B23" s="11">
        <f>250+5870+450+61990</f>
        <v>68560</v>
      </c>
      <c r="C23" s="9">
        <f t="shared" si="0"/>
        <v>62327.272727272721</v>
      </c>
      <c r="D23" s="9">
        <f t="shared" si="1"/>
        <v>6232.7272727272721</v>
      </c>
      <c r="E23" s="11">
        <f>13000+4240+20200+24770</f>
        <v>62210</v>
      </c>
      <c r="F23" s="9">
        <f t="shared" si="2"/>
        <v>51841.666666666672</v>
      </c>
      <c r="G23" s="9">
        <f t="shared" si="3"/>
        <v>10368.333333333336</v>
      </c>
      <c r="H23" s="11">
        <f>1275+230+1075+445</f>
        <v>3025</v>
      </c>
      <c r="I23" s="9">
        <f t="shared" si="4"/>
        <v>2750</v>
      </c>
      <c r="J23" s="9">
        <f t="shared" si="5"/>
        <v>275</v>
      </c>
      <c r="K23" s="11">
        <v>12500</v>
      </c>
      <c r="L23" s="9">
        <f t="shared" si="6"/>
        <v>10416.666666666668</v>
      </c>
      <c r="M23" s="9">
        <f t="shared" si="7"/>
        <v>2083.3333333333335</v>
      </c>
      <c r="N23" s="11">
        <f>600+750+2265</f>
        <v>3615</v>
      </c>
      <c r="O23" s="9">
        <f t="shared" si="8"/>
        <v>3012.5</v>
      </c>
      <c r="P23" s="9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9">
        <v>0</v>
      </c>
      <c r="U23" s="14">
        <f>13055+7170+31740+53555</f>
        <v>105520</v>
      </c>
      <c r="V23" s="3"/>
    </row>
    <row r="24" spans="1:22" x14ac:dyDescent="0.3">
      <c r="A24" s="8">
        <v>45711</v>
      </c>
      <c r="B24" s="11">
        <f>48045</f>
        <v>48045</v>
      </c>
      <c r="C24" s="9">
        <f t="shared" si="0"/>
        <v>43677.272727272721</v>
      </c>
      <c r="D24" s="9">
        <f t="shared" si="1"/>
        <v>4367.7272727272721</v>
      </c>
      <c r="E24" s="11">
        <f>7590</f>
        <v>7590</v>
      </c>
      <c r="F24" s="9">
        <f t="shared" si="2"/>
        <v>6325</v>
      </c>
      <c r="G24" s="9">
        <f t="shared" si="3"/>
        <v>1265</v>
      </c>
      <c r="H24" s="11">
        <f>2500+850</f>
        <v>3350</v>
      </c>
      <c r="I24" s="9">
        <f t="shared" si="4"/>
        <v>3045.454545454545</v>
      </c>
      <c r="J24" s="9">
        <f t="shared" si="5"/>
        <v>304.5454545454545</v>
      </c>
      <c r="K24" s="11">
        <f>3000+400</f>
        <v>3400</v>
      </c>
      <c r="L24" s="9">
        <f t="shared" si="6"/>
        <v>2833.3333333333335</v>
      </c>
      <c r="M24" s="9">
        <f t="shared" si="7"/>
        <v>566.66666666666674</v>
      </c>
      <c r="N24" s="9">
        <v>0</v>
      </c>
      <c r="O24" s="9">
        <f t="shared" si="8"/>
        <v>0</v>
      </c>
      <c r="P24" s="9">
        <f t="shared" si="9"/>
        <v>0</v>
      </c>
      <c r="Q24" s="11">
        <v>9780</v>
      </c>
      <c r="R24" s="11">
        <f>51355+1250</f>
        <v>52605</v>
      </c>
      <c r="S24" s="9">
        <v>0</v>
      </c>
      <c r="T24" s="9">
        <v>0</v>
      </c>
      <c r="U24" s="17">
        <v>28910</v>
      </c>
      <c r="V24" s="3"/>
    </row>
    <row r="25" spans="1:22" x14ac:dyDescent="0.3">
      <c r="A25" s="8">
        <v>45713</v>
      </c>
      <c r="B25" s="11">
        <f>4208.11+20915</f>
        <v>25123.11</v>
      </c>
      <c r="C25" s="9">
        <f t="shared" si="0"/>
        <v>22839.190909090907</v>
      </c>
      <c r="D25" s="9">
        <f t="shared" si="1"/>
        <v>2283.9190909090908</v>
      </c>
      <c r="E25" s="11">
        <f>7925+3021.58</f>
        <v>10946.58</v>
      </c>
      <c r="F25" s="9">
        <f t="shared" si="2"/>
        <v>9122.15</v>
      </c>
      <c r="G25" s="9">
        <f t="shared" si="3"/>
        <v>1824.43</v>
      </c>
      <c r="H25" s="11">
        <f>875+200</f>
        <v>1075</v>
      </c>
      <c r="I25" s="9">
        <f t="shared" si="4"/>
        <v>977.27272727272714</v>
      </c>
      <c r="J25" s="9">
        <f t="shared" si="5"/>
        <v>97.72727272727272</v>
      </c>
      <c r="K25" s="11">
        <f>2400+875.54</f>
        <v>3275.54</v>
      </c>
      <c r="L25" s="9">
        <f t="shared" si="6"/>
        <v>2729.6166666666668</v>
      </c>
      <c r="M25" s="9">
        <f t="shared" si="7"/>
        <v>545.9233333333334</v>
      </c>
      <c r="N25" s="11">
        <v>1534.77</v>
      </c>
      <c r="O25" s="9">
        <f t="shared" si="8"/>
        <v>1278.9750000000001</v>
      </c>
      <c r="P25" s="9">
        <f t="shared" si="9"/>
        <v>255.79500000000004</v>
      </c>
      <c r="Q25" s="9">
        <v>0</v>
      </c>
      <c r="R25" s="11">
        <f>32115+9840</f>
        <v>41955</v>
      </c>
      <c r="S25" s="9">
        <v>0</v>
      </c>
      <c r="T25" s="9">
        <v>0</v>
      </c>
      <c r="U25" s="17">
        <f>25530+5000</f>
        <v>30530</v>
      </c>
      <c r="V25" s="3"/>
    </row>
    <row r="26" spans="1:22" x14ac:dyDescent="0.3">
      <c r="A26" s="8">
        <v>45714</v>
      </c>
      <c r="B26" s="11">
        <f>3060+19750+11925</f>
        <v>34735</v>
      </c>
      <c r="C26" s="9">
        <f t="shared" si="0"/>
        <v>31577.272727272724</v>
      </c>
      <c r="D26" s="9">
        <f t="shared" si="1"/>
        <v>3157.7272727272725</v>
      </c>
      <c r="E26" s="11">
        <f>1550+14690+2165</f>
        <v>18405</v>
      </c>
      <c r="F26" s="9">
        <f t="shared" si="2"/>
        <v>15337.5</v>
      </c>
      <c r="G26" s="9">
        <f t="shared" si="3"/>
        <v>3067.5</v>
      </c>
      <c r="H26" s="11">
        <f>325+1150</f>
        <v>1475</v>
      </c>
      <c r="I26" s="9">
        <f t="shared" si="4"/>
        <v>1340.9090909090908</v>
      </c>
      <c r="J26" s="9">
        <f t="shared" si="5"/>
        <v>134.09090909090909</v>
      </c>
      <c r="K26" s="11">
        <f>300+1800+1300</f>
        <v>3400</v>
      </c>
      <c r="L26" s="9">
        <f t="shared" si="6"/>
        <v>2833.3333333333335</v>
      </c>
      <c r="M26" s="9">
        <f t="shared" si="7"/>
        <v>566.66666666666674</v>
      </c>
      <c r="N26" s="11">
        <v>265</v>
      </c>
      <c r="O26" s="9">
        <f t="shared" si="8"/>
        <v>220.83333333333334</v>
      </c>
      <c r="P26" s="9">
        <f t="shared" si="9"/>
        <v>44.166666666666671</v>
      </c>
      <c r="Q26" s="9">
        <f>0</f>
        <v>0</v>
      </c>
      <c r="R26" s="11">
        <f>4910+36830+16540</f>
        <v>58280</v>
      </c>
      <c r="S26" s="9">
        <v>0</v>
      </c>
      <c r="T26" s="11">
        <v>6472</v>
      </c>
      <c r="U26" s="17">
        <f>35213</f>
        <v>35213</v>
      </c>
      <c r="V26" s="3"/>
    </row>
    <row r="27" spans="1:22" x14ac:dyDescent="0.3">
      <c r="A27" s="8">
        <v>45715</v>
      </c>
      <c r="B27" s="11">
        <f>1995+3235+30550</f>
        <v>35780</v>
      </c>
      <c r="C27" s="9">
        <f t="shared" si="0"/>
        <v>32527.272727272724</v>
      </c>
      <c r="D27" s="9">
        <f t="shared" si="1"/>
        <v>3252.7272727272725</v>
      </c>
      <c r="E27" s="11">
        <f>3900+2200+11750</f>
        <v>17850</v>
      </c>
      <c r="F27" s="9">
        <f t="shared" si="2"/>
        <v>14875</v>
      </c>
      <c r="G27" s="9">
        <f t="shared" si="3"/>
        <v>2975</v>
      </c>
      <c r="H27" s="11">
        <f>200+620</f>
        <v>820</v>
      </c>
      <c r="I27" s="9">
        <f t="shared" si="4"/>
        <v>745.45454545454538</v>
      </c>
      <c r="J27" s="9">
        <f t="shared" si="5"/>
        <v>74.545454545454547</v>
      </c>
      <c r="K27" s="11">
        <f>300+3600+300</f>
        <v>4200</v>
      </c>
      <c r="L27" s="9">
        <f t="shared" si="6"/>
        <v>3500</v>
      </c>
      <c r="M27" s="9">
        <f t="shared" si="7"/>
        <v>700</v>
      </c>
      <c r="N27" s="11">
        <v>1050</v>
      </c>
      <c r="O27" s="9">
        <f t="shared" si="8"/>
        <v>875</v>
      </c>
      <c r="P27" s="9">
        <f t="shared" si="9"/>
        <v>175</v>
      </c>
      <c r="Q27" s="11">
        <v>3170</v>
      </c>
      <c r="R27" s="11">
        <f>6395+5735+44400</f>
        <v>56530</v>
      </c>
      <c r="S27" s="9">
        <v>0</v>
      </c>
      <c r="T27" s="9">
        <v>0</v>
      </c>
      <c r="U27" s="17">
        <f>19600+7775</f>
        <v>27375</v>
      </c>
      <c r="V27" s="3"/>
    </row>
    <row r="28" spans="1:22" x14ac:dyDescent="0.3">
      <c r="A28" s="8">
        <v>45716</v>
      </c>
      <c r="B28" s="11">
        <f>2100+2090+2350+450+41780</f>
        <v>48770</v>
      </c>
      <c r="C28" s="9">
        <f t="shared" si="0"/>
        <v>44336.363636363632</v>
      </c>
      <c r="D28" s="9">
        <f t="shared" si="1"/>
        <v>4433.6363636363631</v>
      </c>
      <c r="E28" s="11">
        <f>3050+12325</f>
        <v>15375</v>
      </c>
      <c r="F28" s="9">
        <f t="shared" si="2"/>
        <v>12812.5</v>
      </c>
      <c r="G28" s="9">
        <f t="shared" si="3"/>
        <v>2562.5</v>
      </c>
      <c r="H28" s="11">
        <f>170+1275+135+2025</f>
        <v>3605</v>
      </c>
      <c r="I28" s="9">
        <f t="shared" si="4"/>
        <v>3277.272727272727</v>
      </c>
      <c r="J28" s="9">
        <f t="shared" si="5"/>
        <v>327.72727272727275</v>
      </c>
      <c r="K28" s="11">
        <f>300+450+300+600+4450</f>
        <v>6100</v>
      </c>
      <c r="L28" s="9">
        <f t="shared" si="6"/>
        <v>5083.3333333333339</v>
      </c>
      <c r="M28" s="9">
        <f t="shared" si="7"/>
        <v>1016.6666666666669</v>
      </c>
      <c r="N28" s="11">
        <f>450+300+900</f>
        <v>1650</v>
      </c>
      <c r="O28" s="9">
        <f t="shared" si="8"/>
        <v>1375</v>
      </c>
      <c r="P28" s="9">
        <f t="shared" si="9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">
      <c r="B29" s="6">
        <f>SUM(B3:B28)</f>
        <v>1323225.0200000003</v>
      </c>
      <c r="C29" s="10">
        <f>B29/1.1</f>
        <v>1202931.8363636364</v>
      </c>
      <c r="D29" s="10">
        <f t="shared" ref="D29" si="18">C29*10/100</f>
        <v>120293.18363636364</v>
      </c>
      <c r="E29" s="6">
        <f>SUM(E3:E28)</f>
        <v>669697.77999999991</v>
      </c>
      <c r="F29" s="10">
        <f t="shared" si="2"/>
        <v>558081.48333333328</v>
      </c>
      <c r="G29" s="10">
        <f t="shared" ref="G29" si="19">F29*20/100</f>
        <v>111616.29666666666</v>
      </c>
      <c r="H29" s="6">
        <f>SUM(H3:H28)</f>
        <v>65135.06</v>
      </c>
      <c r="I29" s="10">
        <f t="shared" si="4"/>
        <v>59213.690909090903</v>
      </c>
      <c r="J29" s="10">
        <f t="shared" ref="J29" si="20">I29*10/100</f>
        <v>5921.369090909091</v>
      </c>
      <c r="K29" s="6">
        <f>SUM(K3:K28)</f>
        <v>155764.22</v>
      </c>
      <c r="L29" s="10">
        <f t="shared" si="6"/>
        <v>129803.51666666668</v>
      </c>
      <c r="M29" s="10">
        <f t="shared" ref="M29" si="21">L29*20/100</f>
        <v>25960.703333333335</v>
      </c>
      <c r="N29" s="6">
        <f>SUM(N3:N28)</f>
        <v>33300.42</v>
      </c>
      <c r="O29" s="10">
        <f t="shared" si="8"/>
        <v>27750.35</v>
      </c>
      <c r="P29" s="10">
        <f t="shared" ref="P29" si="22">O29*20/100</f>
        <v>5550.07</v>
      </c>
      <c r="Q29" s="6">
        <f>SUM(Q3:Q28)</f>
        <v>94363</v>
      </c>
      <c r="R29" s="6">
        <f>SUM(R3:R28)</f>
        <v>2080132.5</v>
      </c>
      <c r="S29" s="6"/>
      <c r="T29" s="6">
        <f>SUM(T3:T28)</f>
        <v>22297</v>
      </c>
      <c r="U29" s="6">
        <f>SUM(U4:U28)</f>
        <v>1030415</v>
      </c>
      <c r="V29" s="3"/>
    </row>
    <row r="30" spans="1:22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">
      <c r="H31" s="5"/>
    </row>
    <row r="32" spans="1:22" s="23" customFormat="1" x14ac:dyDescent="0.3">
      <c r="A32" s="23" t="s">
        <v>23</v>
      </c>
      <c r="V32" s="24"/>
    </row>
    <row r="33" spans="1:22" s="23" customFormat="1" x14ac:dyDescent="0.3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7" workbookViewId="0">
      <selection activeCell="O20" sqref="O2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8" customHeight="1" x14ac:dyDescent="0.3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/>
      <c r="T32" s="6">
        <f>SUM(T3:T31)</f>
        <v>6725</v>
      </c>
      <c r="U32" s="6">
        <f>SUM(U4:U31)</f>
        <v>698495</v>
      </c>
      <c r="V32" s="3"/>
    </row>
    <row r="33" spans="2:21" x14ac:dyDescent="0.3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R37" sqref="R37"/>
    </sheetView>
  </sheetViews>
  <sheetFormatPr defaultRowHeight="14.4" x14ac:dyDescent="0.3"/>
  <cols>
    <col min="1" max="1" width="15.77734375" style="4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2.21875" customWidth="1"/>
    <col min="18" max="18" width="16.88671875" customWidth="1"/>
    <col min="19" max="19" width="11.6640625" customWidth="1"/>
    <col min="20" max="20" width="13.88671875" customWidth="1"/>
    <col min="21" max="21" width="16.88671875" customWidth="1"/>
    <col min="22" max="22" width="32.109375" style="4" hidden="1" customWidth="1"/>
    <col min="23" max="23" width="11.88671875" customWidth="1"/>
    <col min="24" max="24" width="11.77734375" customWidth="1"/>
    <col min="25" max="25" width="12.109375" customWidth="1"/>
  </cols>
  <sheetData>
    <row r="1" spans="1:25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5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31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41" t="s">
        <v>8</v>
      </c>
      <c r="H1" s="42"/>
      <c r="K1" t="s">
        <v>43</v>
      </c>
    </row>
    <row r="2" spans="1:13" ht="15" thickBot="1" x14ac:dyDescent="0.35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35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35">
      <c r="A4" s="27" t="s">
        <v>27</v>
      </c>
      <c r="B4" s="29">
        <v>24150</v>
      </c>
    </row>
    <row r="5" spans="1:13" ht="15" thickBot="1" x14ac:dyDescent="0.35">
      <c r="A5" s="27" t="s">
        <v>28</v>
      </c>
      <c r="B5" s="29">
        <v>70698</v>
      </c>
    </row>
    <row r="6" spans="1:13" ht="15" thickBot="1" x14ac:dyDescent="0.35">
      <c r="A6" s="27" t="s">
        <v>29</v>
      </c>
      <c r="B6" s="29">
        <v>0</v>
      </c>
      <c r="H6" s="41" t="s">
        <v>8</v>
      </c>
      <c r="I6" s="42"/>
    </row>
    <row r="7" spans="1:13" ht="15" thickBot="1" x14ac:dyDescent="0.35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11050</v>
      </c>
      <c r="M9" s="32">
        <f>+K9-L9</f>
        <v>1531055.41</v>
      </c>
    </row>
    <row r="10" spans="1:13" x14ac:dyDescent="0.3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">
      <c r="H11" t="s">
        <v>39</v>
      </c>
      <c r="I11" s="32">
        <f>6835+6665+9645+7200</f>
        <v>30345</v>
      </c>
    </row>
    <row r="12" spans="1:13" x14ac:dyDescent="0.3">
      <c r="I12" s="32"/>
      <c r="L12" s="5"/>
    </row>
    <row r="13" spans="1:13" x14ac:dyDescent="0.3">
      <c r="L13" s="5"/>
    </row>
    <row r="14" spans="1:13" x14ac:dyDescent="0.3">
      <c r="I14" s="32"/>
      <c r="L14" s="31"/>
    </row>
    <row r="15" spans="1:13" x14ac:dyDescent="0.3">
      <c r="I15" s="32"/>
    </row>
    <row r="16" spans="1:13" x14ac:dyDescent="0.3">
      <c r="A16" s="35" t="s">
        <v>38</v>
      </c>
      <c r="B16" s="34"/>
      <c r="C16" s="34"/>
    </row>
    <row r="17" spans="1:11" x14ac:dyDescent="0.3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">
      <c r="B19" s="33"/>
      <c r="C19" s="33"/>
      <c r="H19" s="5"/>
      <c r="J19" s="32"/>
    </row>
    <row r="20" spans="1:11" x14ac:dyDescent="0.3">
      <c r="A20" s="35" t="s">
        <v>37</v>
      </c>
      <c r="B20" s="34"/>
      <c r="C20" s="34"/>
      <c r="H20" s="5"/>
      <c r="I20" s="32"/>
    </row>
    <row r="21" spans="1:11" x14ac:dyDescent="0.3">
      <c r="A21" s="5" t="s">
        <v>36</v>
      </c>
      <c r="B21" s="33">
        <v>118049</v>
      </c>
      <c r="C21" s="33"/>
    </row>
    <row r="22" spans="1:11" x14ac:dyDescent="0.3">
      <c r="A22" t="s">
        <v>35</v>
      </c>
      <c r="B22" s="33">
        <v>564101</v>
      </c>
      <c r="C22" s="33"/>
      <c r="H22" s="5"/>
    </row>
    <row r="23" spans="1:11" x14ac:dyDescent="0.3">
      <c r="B23" s="33"/>
      <c r="C23" s="33"/>
    </row>
    <row r="24" spans="1:11" x14ac:dyDescent="0.3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19" zoomScaleNormal="100" workbookViewId="0">
      <selection activeCell="B29" sqref="B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/>
      <c r="T30" s="6">
        <f>SUM(T3:T29)</f>
        <v>55340</v>
      </c>
      <c r="U30" s="6">
        <f>SUM(U3:U29)</f>
        <v>913340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A9" zoomScaleNormal="100" workbookViewId="0">
      <selection activeCell="A35" sqref="A35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7532.5</v>
      </c>
      <c r="U12" s="17">
        <f>28265+17450+24125+49805</f>
        <v>119645</v>
      </c>
      <c r="V12" s="3"/>
    </row>
    <row r="13" spans="1:22" x14ac:dyDescent="0.3">
      <c r="A13" s="8">
        <v>45822</v>
      </c>
      <c r="B13" s="11">
        <f>2000+2040+12890+45930.14</f>
        <v>62860.14</v>
      </c>
      <c r="C13" s="9">
        <f t="shared" si="0"/>
        <v>57145.58181818181</v>
      </c>
      <c r="D13" s="9">
        <f t="shared" si="1"/>
        <v>5714.5581818181818</v>
      </c>
      <c r="E13" s="11">
        <f>4000+6875+22625+23550+21718.89+1400</f>
        <v>80168.89</v>
      </c>
      <c r="F13" s="9">
        <f t="shared" si="2"/>
        <v>66807.40833333334</v>
      </c>
      <c r="G13" s="9">
        <f t="shared" si="3"/>
        <v>13361.481666666668</v>
      </c>
      <c r="H13" s="11">
        <f>660+225+2040+485</f>
        <v>3410</v>
      </c>
      <c r="I13" s="9">
        <f t="shared" si="4"/>
        <v>3099.9999999999995</v>
      </c>
      <c r="J13" s="9">
        <f t="shared" si="5"/>
        <v>310</v>
      </c>
      <c r="K13" s="11">
        <f>400+1600+4565.97</f>
        <v>6565.97</v>
      </c>
      <c r="L13" s="9">
        <f t="shared" si="6"/>
        <v>5471.6416666666673</v>
      </c>
      <c r="M13" s="9">
        <f t="shared" si="7"/>
        <v>1094.3283333333336</v>
      </c>
      <c r="N13" s="11">
        <f>400+600</f>
        <v>1000</v>
      </c>
      <c r="O13" s="9">
        <f t="shared" si="8"/>
        <v>833.33333333333337</v>
      </c>
      <c r="P13" s="9">
        <f t="shared" si="9"/>
        <v>166.66666666666669</v>
      </c>
      <c r="Q13" s="11">
        <f>85+300+2190+600</f>
        <v>3175</v>
      </c>
      <c r="R13" s="11">
        <f>6575+9415+22250+38490+72100+1400</f>
        <v>150230</v>
      </c>
      <c r="S13" s="11">
        <v>600</v>
      </c>
      <c r="T13" s="11">
        <v>35000</v>
      </c>
      <c r="U13" s="17">
        <f>500+23520</f>
        <v>24020</v>
      </c>
      <c r="V13" s="3"/>
    </row>
    <row r="14" spans="1:22" x14ac:dyDescent="0.3">
      <c r="A14" s="8">
        <v>45823</v>
      </c>
      <c r="B14" s="11">
        <f>11045+25671.08</f>
        <v>36716.080000000002</v>
      </c>
      <c r="C14" s="9">
        <f t="shared" si="0"/>
        <v>33378.254545454547</v>
      </c>
      <c r="D14" s="9">
        <f t="shared" si="1"/>
        <v>3337.8254545454547</v>
      </c>
      <c r="E14" s="11">
        <f>15650+10977.6</f>
        <v>26627.599999999999</v>
      </c>
      <c r="F14" s="9">
        <f t="shared" si="2"/>
        <v>22189.666666666668</v>
      </c>
      <c r="G14" s="9">
        <f t="shared" si="3"/>
        <v>4437.9333333333334</v>
      </c>
      <c r="H14" s="11">
        <f>425+1675</f>
        <v>2100</v>
      </c>
      <c r="I14" s="9">
        <f t="shared" si="4"/>
        <v>1909.090909090909</v>
      </c>
      <c r="J14" s="9">
        <f t="shared" si="5"/>
        <v>190.90909090909091</v>
      </c>
      <c r="K14" s="11">
        <f>2000+3581.32</f>
        <v>5581.32</v>
      </c>
      <c r="L14" s="9">
        <f t="shared" si="6"/>
        <v>4651.1000000000004</v>
      </c>
      <c r="M14" s="9">
        <f t="shared" si="7"/>
        <v>930.22000000000014</v>
      </c>
      <c r="N14" s="9">
        <v>0</v>
      </c>
      <c r="O14" s="9">
        <f t="shared" si="8"/>
        <v>0</v>
      </c>
      <c r="P14" s="9">
        <f t="shared" si="9"/>
        <v>0</v>
      </c>
      <c r="Q14" s="11">
        <f>8000+4345</f>
        <v>12345</v>
      </c>
      <c r="R14" s="11">
        <f>21120+43775-11560</f>
        <v>53335</v>
      </c>
      <c r="S14" s="11">
        <v>5345</v>
      </c>
      <c r="T14" s="9">
        <v>0</v>
      </c>
      <c r="U14" s="17">
        <f>19750+11560</f>
        <v>31310</v>
      </c>
      <c r="V14" s="3"/>
    </row>
    <row r="15" spans="1:22" x14ac:dyDescent="0.3">
      <c r="A15" s="8">
        <v>45825</v>
      </c>
      <c r="B15" s="11">
        <f>1250+16425+154.4+2500+37570</f>
        <v>57899.4</v>
      </c>
      <c r="C15" s="9">
        <f t="shared" si="0"/>
        <v>52635.818181818177</v>
      </c>
      <c r="D15" s="9">
        <f t="shared" si="1"/>
        <v>5263.5818181818177</v>
      </c>
      <c r="E15" s="11">
        <f>18520+600+11280</f>
        <v>30400</v>
      </c>
      <c r="F15" s="9">
        <f t="shared" si="2"/>
        <v>25333.333333333336</v>
      </c>
      <c r="G15" s="9">
        <f t="shared" si="3"/>
        <v>5066.6666666666679</v>
      </c>
      <c r="H15" s="11">
        <f>270+1185</f>
        <v>1455</v>
      </c>
      <c r="I15" s="9">
        <f t="shared" si="4"/>
        <v>1322.7272727272725</v>
      </c>
      <c r="J15" s="9">
        <f t="shared" si="5"/>
        <v>132.27272727272725</v>
      </c>
      <c r="K15" s="11">
        <f>1200+200+4000</f>
        <v>5400</v>
      </c>
      <c r="L15" s="9">
        <f t="shared" si="6"/>
        <v>4500</v>
      </c>
      <c r="M15" s="9">
        <f t="shared" si="7"/>
        <v>900</v>
      </c>
      <c r="N15" s="11">
        <f>3325</f>
        <v>3325</v>
      </c>
      <c r="O15" s="9">
        <f t="shared" si="8"/>
        <v>2770.8333333333335</v>
      </c>
      <c r="P15" s="9">
        <f t="shared" si="9"/>
        <v>554.16666666666674</v>
      </c>
      <c r="Q15" s="11">
        <f>1250+4235+2500+150</f>
        <v>8135</v>
      </c>
      <c r="R15" s="11">
        <f>53885+35505+954.4-3100</f>
        <v>87244.4</v>
      </c>
      <c r="S15" s="11">
        <f>1250+1850</f>
        <v>3100</v>
      </c>
      <c r="T15" s="9">
        <v>0</v>
      </c>
      <c r="U15" s="17">
        <f>21520+8840+12374.3+60750</f>
        <v>103484.3</v>
      </c>
      <c r="V15" s="3"/>
    </row>
    <row r="16" spans="1:22" x14ac:dyDescent="0.3">
      <c r="A16" s="8">
        <v>45826</v>
      </c>
      <c r="B16" s="11">
        <f>35990+13580</f>
        <v>49570</v>
      </c>
      <c r="C16" s="9">
        <f t="shared" si="0"/>
        <v>45063.63636363636</v>
      </c>
      <c r="D16" s="9">
        <f t="shared" si="1"/>
        <v>4506.363636363636</v>
      </c>
      <c r="E16" s="11">
        <f>17880+7325+1850+3700</f>
        <v>30755</v>
      </c>
      <c r="F16" s="9">
        <f t="shared" si="2"/>
        <v>25629.166666666668</v>
      </c>
      <c r="G16" s="9">
        <f t="shared" si="3"/>
        <v>5125.8333333333339</v>
      </c>
      <c r="H16" s="11">
        <f>1265</f>
        <v>1265</v>
      </c>
      <c r="I16" s="9">
        <f t="shared" si="4"/>
        <v>1150</v>
      </c>
      <c r="J16" s="9">
        <f t="shared" si="5"/>
        <v>115</v>
      </c>
      <c r="K16" s="11">
        <f>4000+1600+400+600</f>
        <v>6600</v>
      </c>
      <c r="L16" s="9">
        <f t="shared" si="6"/>
        <v>5500</v>
      </c>
      <c r="M16" s="9">
        <f t="shared" si="7"/>
        <v>1100</v>
      </c>
      <c r="N16" s="11">
        <v>670</v>
      </c>
      <c r="O16" s="9">
        <f t="shared" si="8"/>
        <v>558.33333333333337</v>
      </c>
      <c r="P16" s="9">
        <f t="shared" si="9"/>
        <v>111.66666666666669</v>
      </c>
      <c r="Q16" s="11">
        <f>1250</f>
        <v>1250</v>
      </c>
      <c r="R16" s="11">
        <f>59135+23175+2250+3050</f>
        <v>87610</v>
      </c>
      <c r="S16" s="9">
        <v>0</v>
      </c>
      <c r="T16" s="9">
        <v>0</v>
      </c>
      <c r="U16" s="17">
        <f>38960+16765</f>
        <v>55725</v>
      </c>
      <c r="V16" s="3"/>
    </row>
    <row r="17" spans="1:22" x14ac:dyDescent="0.3">
      <c r="A17" s="8">
        <v>45827</v>
      </c>
      <c r="B17" s="11">
        <f>38495+5550+1695</f>
        <v>45740</v>
      </c>
      <c r="C17" s="9">
        <f t="shared" si="0"/>
        <v>41581.818181818177</v>
      </c>
      <c r="D17" s="9">
        <f t="shared" si="1"/>
        <v>4158.181818181818</v>
      </c>
      <c r="E17" s="11">
        <f>8810+5250+4650</f>
        <v>18710</v>
      </c>
      <c r="F17" s="9">
        <f t="shared" si="2"/>
        <v>15591.666666666668</v>
      </c>
      <c r="G17" s="9">
        <f t="shared" si="3"/>
        <v>3118.3333333333339</v>
      </c>
      <c r="H17" s="11">
        <f>830+625</f>
        <v>1455</v>
      </c>
      <c r="I17" s="9">
        <f t="shared" si="4"/>
        <v>1322.7272727272725</v>
      </c>
      <c r="J17" s="9">
        <f t="shared" si="5"/>
        <v>132.27272727272725</v>
      </c>
      <c r="K17" s="11">
        <f>3800+800</f>
        <v>4600</v>
      </c>
      <c r="L17" s="9">
        <f t="shared" si="6"/>
        <v>3833.3333333333335</v>
      </c>
      <c r="M17" s="9">
        <f t="shared" si="7"/>
        <v>766.66666666666674</v>
      </c>
      <c r="N17" s="11">
        <v>215</v>
      </c>
      <c r="O17" s="9">
        <f t="shared" si="8"/>
        <v>179.16666666666669</v>
      </c>
      <c r="P17" s="9">
        <f t="shared" si="9"/>
        <v>35.833333333333336</v>
      </c>
      <c r="Q17" s="11">
        <v>2000</v>
      </c>
      <c r="R17" s="11">
        <f>47150+10225+6345</f>
        <v>63720</v>
      </c>
      <c r="S17" s="11">
        <v>5000</v>
      </c>
      <c r="T17" s="9">
        <v>0</v>
      </c>
      <c r="U17" s="17">
        <f>11935+13550</f>
        <v>25485</v>
      </c>
      <c r="V17" s="3"/>
    </row>
    <row r="18" spans="1:22" x14ac:dyDescent="0.3">
      <c r="A18" s="8">
        <v>45828</v>
      </c>
      <c r="B18" s="11">
        <f>350+11595+51740</f>
        <v>63685</v>
      </c>
      <c r="C18" s="9">
        <f t="shared" si="0"/>
        <v>57895.454545454544</v>
      </c>
      <c r="D18" s="9">
        <f t="shared" si="1"/>
        <v>5789.545454545455</v>
      </c>
      <c r="E18" s="11">
        <f>6600+1200+5450+11165</f>
        <v>24415</v>
      </c>
      <c r="F18" s="9">
        <f t="shared" ref="F18:F23" si="10">E18/1.2</f>
        <v>20345.833333333336</v>
      </c>
      <c r="G18" s="9">
        <f t="shared" si="3"/>
        <v>4069.1666666666674</v>
      </c>
      <c r="H18" s="11">
        <f>425+2135</f>
        <v>2560</v>
      </c>
      <c r="I18" s="9">
        <f t="shared" ref="I18:I23" si="11">H18/1.1</f>
        <v>2327.272727272727</v>
      </c>
      <c r="J18" s="9">
        <f t="shared" si="5"/>
        <v>232.72727272727272</v>
      </c>
      <c r="K18" s="11">
        <f>1600+400+800+4800</f>
        <v>7600</v>
      </c>
      <c r="L18" s="9">
        <f t="shared" si="6"/>
        <v>6333.3333333333339</v>
      </c>
      <c r="M18" s="9">
        <f t="shared" si="7"/>
        <v>1266.666666666667</v>
      </c>
      <c r="N18" s="11">
        <v>400</v>
      </c>
      <c r="O18" s="9">
        <f t="shared" si="8"/>
        <v>333.33333333333337</v>
      </c>
      <c r="P18" s="9">
        <f t="shared" si="9"/>
        <v>66.666666666666671</v>
      </c>
      <c r="Q18" s="9">
        <f>0</f>
        <v>0</v>
      </c>
      <c r="R18" s="11">
        <f>8625+1950+17845+70240-3485</f>
        <v>95175</v>
      </c>
      <c r="S18" s="11">
        <v>3485</v>
      </c>
      <c r="T18" s="9">
        <v>0</v>
      </c>
      <c r="U18" s="17">
        <v>20515</v>
      </c>
      <c r="V18" s="3"/>
    </row>
    <row r="19" spans="1:22" x14ac:dyDescent="0.3">
      <c r="A19" s="8">
        <v>45829</v>
      </c>
      <c r="B19" s="11">
        <f>8685+9800+7785+450+85145</f>
        <v>111865</v>
      </c>
      <c r="C19" s="9">
        <f t="shared" si="0"/>
        <v>101695.45454545454</v>
      </c>
      <c r="D19" s="9">
        <f t="shared" si="1"/>
        <v>10169.545454545456</v>
      </c>
      <c r="E19" s="11">
        <f>10700+3600+5045+6520+19505</f>
        <v>45370</v>
      </c>
      <c r="F19" s="9">
        <f t="shared" si="10"/>
        <v>37808.333333333336</v>
      </c>
      <c r="G19" s="9">
        <f t="shared" si="3"/>
        <v>7561.6666666666679</v>
      </c>
      <c r="H19" s="11">
        <f>2550+270+425+985+4395</f>
        <v>8625</v>
      </c>
      <c r="I19" s="9">
        <f t="shared" si="11"/>
        <v>7840.9090909090901</v>
      </c>
      <c r="J19" s="9">
        <f t="shared" si="5"/>
        <v>784.09090909090901</v>
      </c>
      <c r="K19" s="11">
        <f>4800+1400+1400+2400+10400</f>
        <v>20400</v>
      </c>
      <c r="L19" s="9">
        <f t="shared" si="6"/>
        <v>17000</v>
      </c>
      <c r="M19" s="9">
        <f t="shared" si="7"/>
        <v>3400</v>
      </c>
      <c r="N19" s="11">
        <f>750+600</f>
        <v>1350</v>
      </c>
      <c r="O19" s="9">
        <f t="shared" ref="O19:O23" si="12">N19/1.2</f>
        <v>1125</v>
      </c>
      <c r="P19" s="9">
        <f t="shared" si="9"/>
        <v>225</v>
      </c>
      <c r="Q19" s="11">
        <f>6115+3000</f>
        <v>9115</v>
      </c>
      <c r="R19" s="11">
        <f>27485+15070+14655+7355+113930</f>
        <v>178495</v>
      </c>
      <c r="S19" s="9">
        <v>0</v>
      </c>
      <c r="T19" s="11">
        <v>23965</v>
      </c>
      <c r="U19" s="17">
        <f>19830+13950</f>
        <v>33780</v>
      </c>
      <c r="V19" s="3"/>
    </row>
    <row r="20" spans="1:22" x14ac:dyDescent="0.3">
      <c r="A20" s="8">
        <v>45830</v>
      </c>
      <c r="B20" s="11">
        <f>52720+3365+4280</f>
        <v>60365</v>
      </c>
      <c r="C20" s="9">
        <f t="shared" si="0"/>
        <v>54877.272727272721</v>
      </c>
      <c r="D20" s="9">
        <f t="shared" si="1"/>
        <v>5487.7272727272721</v>
      </c>
      <c r="E20" s="11">
        <f>8685+675+11100</f>
        <v>20460</v>
      </c>
      <c r="F20" s="9">
        <f t="shared" si="10"/>
        <v>17050</v>
      </c>
      <c r="G20" s="9">
        <f t="shared" si="3"/>
        <v>3410</v>
      </c>
      <c r="H20" s="11">
        <f>3660+285+1700</f>
        <v>5645</v>
      </c>
      <c r="I20" s="9">
        <f t="shared" si="11"/>
        <v>5131.8181818181811</v>
      </c>
      <c r="J20" s="9">
        <f t="shared" si="5"/>
        <v>513.18181818181813</v>
      </c>
      <c r="K20" s="11">
        <f>5800+400+3600</f>
        <v>9800</v>
      </c>
      <c r="L20" s="9">
        <f t="shared" si="6"/>
        <v>8166.666666666667</v>
      </c>
      <c r="M20" s="9">
        <f t="shared" si="7"/>
        <v>1633.3333333333335</v>
      </c>
      <c r="N20" s="9">
        <v>0</v>
      </c>
      <c r="O20" s="9">
        <f t="shared" si="12"/>
        <v>0</v>
      </c>
      <c r="P20" s="9">
        <f t="shared" si="9"/>
        <v>0</v>
      </c>
      <c r="Q20" s="11">
        <f>4235</f>
        <v>4235</v>
      </c>
      <c r="R20" s="11">
        <f>70865+4725+13370</f>
        <v>88960</v>
      </c>
      <c r="S20" s="11">
        <v>3075</v>
      </c>
      <c r="T20" s="9">
        <v>0</v>
      </c>
      <c r="U20" s="14">
        <v>0</v>
      </c>
      <c r="V20" s="3"/>
    </row>
    <row r="21" spans="1:22" x14ac:dyDescent="0.3">
      <c r="A21" s="8">
        <v>45832</v>
      </c>
      <c r="B21" s="11">
        <f>13165+13295+250+35530</f>
        <v>62240</v>
      </c>
      <c r="C21" s="9">
        <f t="shared" si="0"/>
        <v>56581.818181818177</v>
      </c>
      <c r="D21" s="9">
        <f t="shared" si="1"/>
        <v>5658.181818181818</v>
      </c>
      <c r="E21" s="11">
        <f>11550+5625+6300+9990</f>
        <v>33465</v>
      </c>
      <c r="F21" s="9">
        <f t="shared" si="10"/>
        <v>27887.5</v>
      </c>
      <c r="G21" s="9">
        <f t="shared" si="3"/>
        <v>5577.5</v>
      </c>
      <c r="H21" s="11">
        <f>1275+1275+4675</f>
        <v>7225</v>
      </c>
      <c r="I21" s="9">
        <f t="shared" si="11"/>
        <v>6568.181818181818</v>
      </c>
      <c r="J21" s="9">
        <f t="shared" si="5"/>
        <v>656.81818181818187</v>
      </c>
      <c r="K21" s="11">
        <f>2400+1200+1800+3800</f>
        <v>9200</v>
      </c>
      <c r="L21" s="9">
        <f t="shared" si="6"/>
        <v>7666.666666666667</v>
      </c>
      <c r="M21" s="9">
        <f t="shared" si="7"/>
        <v>1533.3333333333335</v>
      </c>
      <c r="N21" s="11">
        <v>540</v>
      </c>
      <c r="O21" s="9">
        <f t="shared" si="12"/>
        <v>450</v>
      </c>
      <c r="P21" s="9">
        <f t="shared" si="9"/>
        <v>90</v>
      </c>
      <c r="Q21" s="11">
        <f>1650+2500</f>
        <v>4150</v>
      </c>
      <c r="R21" s="11">
        <f>25465+21395+7125-3450+54535</f>
        <v>105070</v>
      </c>
      <c r="S21" s="11">
        <v>3450</v>
      </c>
      <c r="T21" s="9">
        <v>0</v>
      </c>
      <c r="U21" s="17">
        <f>27370+13380+20560</f>
        <v>61310</v>
      </c>
      <c r="V21" s="3"/>
    </row>
    <row r="22" spans="1:22" x14ac:dyDescent="0.3">
      <c r="A22" s="8">
        <v>45833</v>
      </c>
      <c r="B22" s="11">
        <f>2495+2895+9540+32845</f>
        <v>47775</v>
      </c>
      <c r="C22" s="9">
        <f t="shared" si="0"/>
        <v>43431.818181818177</v>
      </c>
      <c r="D22" s="9">
        <f t="shared" si="1"/>
        <v>4343.181818181818</v>
      </c>
      <c r="E22" s="11">
        <f>3600+8625+8990</f>
        <v>21215</v>
      </c>
      <c r="F22" s="9">
        <f t="shared" si="10"/>
        <v>17679.166666666668</v>
      </c>
      <c r="G22" s="9">
        <f t="shared" si="3"/>
        <v>3535.8333333333339</v>
      </c>
      <c r="H22" s="11">
        <f>850+1745+1485</f>
        <v>4080</v>
      </c>
      <c r="I22" s="9">
        <f t="shared" si="11"/>
        <v>3709.090909090909</v>
      </c>
      <c r="J22" s="9">
        <f t="shared" si="5"/>
        <v>370.90909090909093</v>
      </c>
      <c r="K22" s="11">
        <f>400+400+2400+4200</f>
        <v>7400</v>
      </c>
      <c r="L22" s="9">
        <f t="shared" si="6"/>
        <v>6166.666666666667</v>
      </c>
      <c r="M22" s="9">
        <f t="shared" si="7"/>
        <v>1233.3333333333335</v>
      </c>
      <c r="N22" s="11">
        <v>650</v>
      </c>
      <c r="O22" s="9">
        <f t="shared" si="12"/>
        <v>541.66666666666674</v>
      </c>
      <c r="P22" s="9">
        <f t="shared" si="9"/>
        <v>108.33333333333336</v>
      </c>
      <c r="Q22" s="9">
        <f>0</f>
        <v>0</v>
      </c>
      <c r="R22" s="11">
        <f>6495+4145+22960+47520</f>
        <v>81120</v>
      </c>
      <c r="S22" s="9">
        <v>0</v>
      </c>
      <c r="T22" s="11">
        <v>9995</v>
      </c>
      <c r="U22" s="17">
        <f>10430</f>
        <v>10430</v>
      </c>
      <c r="V22" s="3"/>
    </row>
    <row r="23" spans="1:22" x14ac:dyDescent="0.3">
      <c r="A23" s="8">
        <v>45834</v>
      </c>
      <c r="B23" s="11">
        <f>40985</f>
        <v>40985</v>
      </c>
      <c r="C23" s="9">
        <f t="shared" si="0"/>
        <v>37259.090909090904</v>
      </c>
      <c r="D23" s="9">
        <f t="shared" si="1"/>
        <v>3725.9090909090905</v>
      </c>
      <c r="E23" s="11">
        <f>5450+7665</f>
        <v>13115</v>
      </c>
      <c r="F23" s="9">
        <f t="shared" si="10"/>
        <v>10929.166666666668</v>
      </c>
      <c r="G23" s="9">
        <f t="shared" si="3"/>
        <v>2185.8333333333335</v>
      </c>
      <c r="H23" s="11">
        <f>3400+2535</f>
        <v>5935</v>
      </c>
      <c r="I23" s="9">
        <f t="shared" si="11"/>
        <v>5395.454545454545</v>
      </c>
      <c r="J23" s="9">
        <f t="shared" si="5"/>
        <v>539.5454545454545</v>
      </c>
      <c r="K23" s="11">
        <f>1400+4600</f>
        <v>6000</v>
      </c>
      <c r="L23" s="9">
        <f t="shared" si="6"/>
        <v>5000</v>
      </c>
      <c r="M23" s="9">
        <f t="shared" si="7"/>
        <v>1000</v>
      </c>
      <c r="N23" s="11">
        <v>510</v>
      </c>
      <c r="O23" s="9">
        <f t="shared" si="12"/>
        <v>425</v>
      </c>
      <c r="P23" s="9">
        <f t="shared" si="9"/>
        <v>85</v>
      </c>
      <c r="Q23" s="11">
        <f>2550</f>
        <v>2550</v>
      </c>
      <c r="R23" s="11">
        <f>7700+56295</f>
        <v>63995</v>
      </c>
      <c r="S23" s="9">
        <v>0</v>
      </c>
      <c r="T23" s="9">
        <v>0</v>
      </c>
      <c r="U23" s="17">
        <v>14905</v>
      </c>
      <c r="V23" s="3"/>
    </row>
    <row r="24" spans="1:22" x14ac:dyDescent="0.3">
      <c r="A24" s="8">
        <v>45835</v>
      </c>
      <c r="B24" s="11">
        <f>5420+5050+9280+50855</f>
        <v>70605</v>
      </c>
      <c r="C24" s="9">
        <f t="shared" si="0"/>
        <v>64186.363636363632</v>
      </c>
      <c r="D24" s="9">
        <f t="shared" si="1"/>
        <v>6418.636363636364</v>
      </c>
      <c r="E24" s="11">
        <f>4700+4500+7600+17415+9375</f>
        <v>43590</v>
      </c>
      <c r="F24" s="9">
        <f t="shared" si="2"/>
        <v>36325</v>
      </c>
      <c r="G24" s="9">
        <f t="shared" si="3"/>
        <v>7265</v>
      </c>
      <c r="H24" s="11">
        <f>850+850+1200</f>
        <v>2900</v>
      </c>
      <c r="I24" s="9">
        <f t="shared" si="4"/>
        <v>2636.363636363636</v>
      </c>
      <c r="J24" s="9">
        <f t="shared" si="5"/>
        <v>263.63636363636363</v>
      </c>
      <c r="K24" s="11">
        <f>1800+400+2800+2400+6800</f>
        <v>14200</v>
      </c>
      <c r="L24" s="9">
        <f t="shared" si="6"/>
        <v>11833.333333333334</v>
      </c>
      <c r="M24" s="9">
        <f t="shared" si="7"/>
        <v>2366.666666666667</v>
      </c>
      <c r="N24" s="11">
        <v>400</v>
      </c>
      <c r="O24" s="9">
        <f t="shared" si="8"/>
        <v>333.33333333333337</v>
      </c>
      <c r="P24" s="9">
        <f t="shared" si="9"/>
        <v>66.666666666666671</v>
      </c>
      <c r="Q24" s="11">
        <f>6430+300+4100+2220</f>
        <v>13050</v>
      </c>
      <c r="R24" s="11">
        <f>5490+4600+18075+16030+74450</f>
        <v>118645</v>
      </c>
      <c r="S24" s="9">
        <v>0</v>
      </c>
      <c r="T24" s="9">
        <v>0</v>
      </c>
      <c r="U24" s="17">
        <f>11525+38255+1185</f>
        <v>50965</v>
      </c>
      <c r="V24" s="3"/>
    </row>
    <row r="25" spans="1:22" x14ac:dyDescent="0.3">
      <c r="A25" s="8">
        <v>45836</v>
      </c>
      <c r="B25" s="11">
        <f>2045+18660+64625</f>
        <v>85330</v>
      </c>
      <c r="C25" s="9">
        <f t="shared" ref="C25:C26" si="13">B25/1.1</f>
        <v>77572.727272727265</v>
      </c>
      <c r="D25" s="9">
        <f t="shared" si="1"/>
        <v>7757.272727272727</v>
      </c>
      <c r="E25" s="11">
        <f>13100+21795+21890</f>
        <v>56785</v>
      </c>
      <c r="F25" s="9">
        <f t="shared" si="2"/>
        <v>47320.833333333336</v>
      </c>
      <c r="G25" s="9">
        <f t="shared" si="3"/>
        <v>9464.1666666666679</v>
      </c>
      <c r="H25" s="11">
        <f>255+605+2525</f>
        <v>3385</v>
      </c>
      <c r="I25" s="9">
        <f t="shared" si="4"/>
        <v>3077.272727272727</v>
      </c>
      <c r="J25" s="9">
        <f t="shared" si="5"/>
        <v>307.72727272727275</v>
      </c>
      <c r="K25" s="11">
        <f>1800+4200+9400</f>
        <v>15400</v>
      </c>
      <c r="L25" s="9">
        <f t="shared" si="6"/>
        <v>12833.333333333334</v>
      </c>
      <c r="M25" s="9">
        <f t="shared" si="7"/>
        <v>2566.666666666667</v>
      </c>
      <c r="N25" s="9">
        <v>0</v>
      </c>
      <c r="O25" s="9">
        <f t="shared" si="8"/>
        <v>0</v>
      </c>
      <c r="P25" s="9">
        <f t="shared" si="9"/>
        <v>0</v>
      </c>
      <c r="Q25" s="11">
        <f>2950</f>
        <v>2950</v>
      </c>
      <c r="R25" s="11">
        <f>17200+42310+93310</f>
        <v>152820</v>
      </c>
      <c r="S25" s="11">
        <v>5130</v>
      </c>
      <c r="T25" s="9">
        <v>0</v>
      </c>
      <c r="U25" s="17">
        <f>3050+15105+17340</f>
        <v>35495</v>
      </c>
      <c r="V25" s="3" t="s">
        <v>53</v>
      </c>
    </row>
    <row r="26" spans="1:22" x14ac:dyDescent="0.3">
      <c r="A26" s="8">
        <v>45837</v>
      </c>
      <c r="B26" s="11">
        <f>4285+4000+43455</f>
        <v>51740</v>
      </c>
      <c r="C26" s="9">
        <f t="shared" si="13"/>
        <v>47036.363636363632</v>
      </c>
      <c r="D26" s="9">
        <f t="shared" si="1"/>
        <v>4703.6363636363631</v>
      </c>
      <c r="E26" s="11">
        <f>3725+2900+9260</f>
        <v>15885</v>
      </c>
      <c r="F26" s="9">
        <f t="shared" si="2"/>
        <v>13237.5</v>
      </c>
      <c r="G26" s="9">
        <f t="shared" si="3"/>
        <v>2647.5</v>
      </c>
      <c r="H26" s="11">
        <f>200+505</f>
        <v>705</v>
      </c>
      <c r="I26" s="9">
        <f t="shared" si="4"/>
        <v>640.90909090909088</v>
      </c>
      <c r="J26" s="9">
        <f t="shared" si="5"/>
        <v>64.090909090909093</v>
      </c>
      <c r="K26" s="11">
        <f>1400+1000+4000</f>
        <v>6400</v>
      </c>
      <c r="L26" s="9">
        <f t="shared" si="6"/>
        <v>5333.3333333333339</v>
      </c>
      <c r="M26" s="9">
        <f t="shared" si="7"/>
        <v>1066.6666666666667</v>
      </c>
      <c r="N26" s="9">
        <v>0</v>
      </c>
      <c r="O26" s="9">
        <f t="shared" si="8"/>
        <v>0</v>
      </c>
      <c r="P26" s="9">
        <f t="shared" si="9"/>
        <v>0</v>
      </c>
      <c r="Q26" s="11">
        <f>200</f>
        <v>200</v>
      </c>
      <c r="R26" s="11">
        <f>9210+8100+57220</f>
        <v>74530</v>
      </c>
      <c r="S26" s="9">
        <v>0</v>
      </c>
      <c r="T26" s="9">
        <v>0</v>
      </c>
      <c r="U26" s="17">
        <v>14990</v>
      </c>
      <c r="V26" s="3"/>
    </row>
    <row r="27" spans="1:22" x14ac:dyDescent="0.3">
      <c r="B27" s="6">
        <f>SUM(B3:B26)</f>
        <v>1278826.22</v>
      </c>
      <c r="C27" s="10">
        <f>B27/1.1</f>
        <v>1162569.2909090908</v>
      </c>
      <c r="D27" s="10">
        <f t="shared" ref="D27" si="14">C27*10/100</f>
        <v>116256.92909090908</v>
      </c>
      <c r="E27" s="6">
        <f>SUM(E3:E26)</f>
        <v>632377.49</v>
      </c>
      <c r="F27" s="10">
        <f t="shared" si="2"/>
        <v>526981.2416666667</v>
      </c>
      <c r="G27" s="10">
        <f t="shared" ref="G27" si="15">F27*20/100</f>
        <v>105396.24833333334</v>
      </c>
      <c r="H27" s="6">
        <f>SUM(H3:H26)</f>
        <v>80499.399999999994</v>
      </c>
      <c r="I27" s="10">
        <f t="shared" si="4"/>
        <v>73181.272727272721</v>
      </c>
      <c r="J27" s="10">
        <f t="shared" ref="J27" si="16">I27*10/100</f>
        <v>7318.1272727272717</v>
      </c>
      <c r="K27" s="6">
        <f>SUM(K3:K26)</f>
        <v>191547.29</v>
      </c>
      <c r="L27" s="10">
        <f t="shared" si="6"/>
        <v>159622.74166666667</v>
      </c>
      <c r="M27" s="10">
        <f t="shared" ref="M27" si="17">L27*20/100</f>
        <v>31924.548333333336</v>
      </c>
      <c r="N27" s="6">
        <f>SUM(N3:N26)</f>
        <v>14937</v>
      </c>
      <c r="O27" s="10">
        <f t="shared" si="8"/>
        <v>12447.5</v>
      </c>
      <c r="P27" s="10">
        <f t="shared" ref="P27" si="18">O27*20/100</f>
        <v>2489.5</v>
      </c>
      <c r="Q27" s="6">
        <f>SUM(Q3:Q26)</f>
        <v>111010</v>
      </c>
      <c r="R27" s="6">
        <f>SUM(R3:R26)</f>
        <v>2027777.4</v>
      </c>
      <c r="S27" s="6"/>
      <c r="T27" s="6">
        <f>SUM(T3:T26)</f>
        <v>176492.5</v>
      </c>
      <c r="U27" s="6">
        <f>SUM(U3:U26)</f>
        <v>826754.3</v>
      </c>
      <c r="V27" s="3"/>
    </row>
    <row r="28" spans="1:22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">
      <c r="H29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1"/>
  <sheetViews>
    <sheetView tabSelected="1" topLeftCell="F28" workbookViewId="0">
      <selection activeCell="Q44" sqref="Q44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10.109375" bestFit="1" customWidth="1"/>
    <col min="9" max="10" width="10" bestFit="1" customWidth="1"/>
    <col min="11" max="11" width="10.109375" bestFit="1" customWidth="1"/>
    <col min="12" max="12" width="10" bestFit="1" customWidth="1"/>
    <col min="13" max="13" width="9" bestFit="1" customWidth="1"/>
    <col min="14" max="14" width="10.109375" bestFit="1" customWidth="1"/>
    <col min="15" max="15" width="11.5546875" bestFit="1" customWidth="1"/>
    <col min="16" max="16" width="9" bestFit="1" customWidth="1"/>
    <col min="17" max="17" width="9.6640625" bestFit="1" customWidth="1"/>
    <col min="18" max="18" width="11.6640625" bestFit="1" customWidth="1"/>
    <col min="19" max="19" width="11.6640625" customWidth="1"/>
    <col min="20" max="21" width="13.88671875" customWidth="1"/>
    <col min="22" max="22" width="14.77734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41" t="s">
        <v>8</v>
      </c>
      <c r="U1" s="42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45839</v>
      </c>
      <c r="B3" s="11">
        <f>9890+5700+31410</f>
        <v>47000</v>
      </c>
      <c r="C3" s="9">
        <f>B3/1.1</f>
        <v>42727.272727272721</v>
      </c>
      <c r="D3" s="9">
        <f>C3*0.1</f>
        <v>4272.7272727272721</v>
      </c>
      <c r="E3" s="11">
        <f>13240+16875+4185+6225</f>
        <v>40525</v>
      </c>
      <c r="F3" s="9">
        <f>E3/1.2</f>
        <v>33770.833333333336</v>
      </c>
      <c r="G3" s="9">
        <f>F3*0.2</f>
        <v>6754.1666666666679</v>
      </c>
      <c r="H3" s="11">
        <f>3075+965+2655</f>
        <v>6695</v>
      </c>
      <c r="I3" s="9">
        <f>H3/1.1</f>
        <v>6086.363636363636</v>
      </c>
      <c r="J3" s="9">
        <f>I3*0.1</f>
        <v>608.63636363636363</v>
      </c>
      <c r="K3" s="11">
        <f>4400+1600+1600+3800</f>
        <v>11400</v>
      </c>
      <c r="L3" s="9">
        <f>K3/1.2</f>
        <v>9500</v>
      </c>
      <c r="M3" s="9">
        <f>L3*0.2</f>
        <v>1900</v>
      </c>
      <c r="N3" s="11">
        <f>200+400</f>
        <v>600</v>
      </c>
      <c r="O3" s="9">
        <f>N3/1.2</f>
        <v>500</v>
      </c>
      <c r="P3" s="9">
        <f>O3*0.2</f>
        <v>100</v>
      </c>
      <c r="Q3" s="11">
        <f>1200+2300+4755</f>
        <v>8255</v>
      </c>
      <c r="R3" s="11">
        <f>29405+16175+12650+39735-2520</f>
        <v>95445</v>
      </c>
      <c r="S3" s="11">
        <v>2520</v>
      </c>
      <c r="T3" s="11">
        <v>2565</v>
      </c>
      <c r="U3" s="17">
        <f>64200</f>
        <v>64200</v>
      </c>
      <c r="V3" s="3"/>
    </row>
    <row r="4" spans="1:22" ht="28.8" x14ac:dyDescent="0.3">
      <c r="A4" s="8">
        <v>45840</v>
      </c>
      <c r="B4" s="11">
        <f>450+29140</f>
        <v>29590</v>
      </c>
      <c r="C4" s="9">
        <f t="shared" ref="C4:C22" si="0">B4/1.1</f>
        <v>26899.999999999996</v>
      </c>
      <c r="D4" s="9">
        <f t="shared" ref="D4:D22" si="1">C4*0.1</f>
        <v>2690</v>
      </c>
      <c r="E4" s="11">
        <f>6200+1200+8125</f>
        <v>15525</v>
      </c>
      <c r="F4" s="9">
        <f t="shared" ref="F4:F30" si="2">E4/1.2</f>
        <v>12937.5</v>
      </c>
      <c r="G4" s="9">
        <f t="shared" ref="G4:G22" si="3">F4*0.2</f>
        <v>2587.5</v>
      </c>
      <c r="H4" s="11">
        <f>425+270</f>
        <v>695</v>
      </c>
      <c r="I4" s="9">
        <f t="shared" ref="I4:I30" si="4">H4/1.1</f>
        <v>631.81818181818176</v>
      </c>
      <c r="J4" s="9">
        <f t="shared" ref="J4:J22" si="5">I4*0.1</f>
        <v>63.18181818181818</v>
      </c>
      <c r="K4" s="11">
        <f>3750+2020+400+3200</f>
        <v>9370</v>
      </c>
      <c r="L4" s="9">
        <f t="shared" ref="L4:L30" si="6">K4/1.2</f>
        <v>7808.3333333333339</v>
      </c>
      <c r="M4" s="9">
        <f t="shared" ref="M4:M22" si="7">L4*0.2</f>
        <v>1561.666666666667</v>
      </c>
      <c r="N4" s="11">
        <v>1650</v>
      </c>
      <c r="O4" s="9">
        <f t="shared" ref="O4:O30" si="8">N4/1.2</f>
        <v>1375</v>
      </c>
      <c r="P4" s="9">
        <f t="shared" ref="P4:P22" si="9">O4*0.2</f>
        <v>275</v>
      </c>
      <c r="Q4" s="9">
        <f>0</f>
        <v>0</v>
      </c>
      <c r="R4" s="11">
        <f>4045+10400+42385</f>
        <v>56830</v>
      </c>
      <c r="S4" s="9">
        <v>0</v>
      </c>
      <c r="T4" s="9">
        <v>0</v>
      </c>
      <c r="U4" s="17">
        <f>12045+32055</f>
        <v>44100</v>
      </c>
      <c r="V4" s="18" t="s">
        <v>54</v>
      </c>
    </row>
    <row r="5" spans="1:22" x14ac:dyDescent="0.3">
      <c r="A5" s="8">
        <v>45841</v>
      </c>
      <c r="B5" s="11">
        <f>3685+59615</f>
        <v>63300</v>
      </c>
      <c r="C5" s="9">
        <f t="shared" si="0"/>
        <v>57545.454545454544</v>
      </c>
      <c r="D5" s="9">
        <f t="shared" si="1"/>
        <v>5754.545454545455</v>
      </c>
      <c r="E5" s="11">
        <f>1200+8050+20125</f>
        <v>29375</v>
      </c>
      <c r="F5" s="9">
        <f t="shared" si="2"/>
        <v>24479.166666666668</v>
      </c>
      <c r="G5" s="9">
        <f t="shared" si="3"/>
        <v>4895.8333333333339</v>
      </c>
      <c r="H5" s="11">
        <f>200+645+3460</f>
        <v>4305</v>
      </c>
      <c r="I5" s="9">
        <f t="shared" si="4"/>
        <v>3913.6363636363635</v>
      </c>
      <c r="J5" s="9">
        <f t="shared" si="5"/>
        <v>391.36363636363637</v>
      </c>
      <c r="K5" s="11">
        <f>400+2600+10400</f>
        <v>13400</v>
      </c>
      <c r="L5" s="9">
        <f t="shared" si="6"/>
        <v>11166.666666666668</v>
      </c>
      <c r="M5" s="9">
        <f t="shared" si="7"/>
        <v>2233.3333333333335</v>
      </c>
      <c r="N5" s="11">
        <v>1500</v>
      </c>
      <c r="O5" s="9">
        <f t="shared" si="8"/>
        <v>1250</v>
      </c>
      <c r="P5" s="9">
        <f t="shared" si="9"/>
        <v>250</v>
      </c>
      <c r="Q5" s="11">
        <f>2550</f>
        <v>2550</v>
      </c>
      <c r="R5" s="11">
        <f>11295+92550</f>
        <v>103845</v>
      </c>
      <c r="S5" s="11">
        <v>5485</v>
      </c>
      <c r="T5" s="9">
        <v>0</v>
      </c>
      <c r="U5" s="14">
        <v>0</v>
      </c>
      <c r="V5" s="3"/>
    </row>
    <row r="6" spans="1:22" x14ac:dyDescent="0.3">
      <c r="A6" s="8">
        <v>45842</v>
      </c>
      <c r="B6" s="11">
        <f>6095+25525</f>
        <v>31620</v>
      </c>
      <c r="C6" s="9">
        <f t="shared" si="0"/>
        <v>28745.454545454544</v>
      </c>
      <c r="D6" s="9">
        <f t="shared" si="1"/>
        <v>2874.5454545454545</v>
      </c>
      <c r="E6" s="11">
        <f>1200+2400+9415</f>
        <v>13015</v>
      </c>
      <c r="F6" s="9">
        <f t="shared" si="2"/>
        <v>10845.833333333334</v>
      </c>
      <c r="G6" s="9">
        <f t="shared" si="3"/>
        <v>2169.166666666667</v>
      </c>
      <c r="H6" s="11">
        <f>425+2820</f>
        <v>3245</v>
      </c>
      <c r="I6" s="9">
        <f t="shared" si="4"/>
        <v>2949.9999999999995</v>
      </c>
      <c r="J6" s="9">
        <f t="shared" si="5"/>
        <v>294.99999999999994</v>
      </c>
      <c r="K6" s="11">
        <f>600+400+4400</f>
        <v>5400</v>
      </c>
      <c r="L6" s="9">
        <f t="shared" si="6"/>
        <v>4500</v>
      </c>
      <c r="M6" s="9">
        <f t="shared" si="7"/>
        <v>900</v>
      </c>
      <c r="N6" s="9">
        <v>0</v>
      </c>
      <c r="O6" s="9">
        <f t="shared" si="8"/>
        <v>0</v>
      </c>
      <c r="P6" s="9">
        <f t="shared" si="9"/>
        <v>0</v>
      </c>
      <c r="Q6" s="9">
        <f>0</f>
        <v>0</v>
      </c>
      <c r="R6" s="11">
        <f>2225+8895+42160-625</f>
        <v>52655</v>
      </c>
      <c r="S6" s="11">
        <v>625</v>
      </c>
      <c r="T6" s="9">
        <v>0</v>
      </c>
      <c r="U6" s="17">
        <f>20040+10240+9500</f>
        <v>39780</v>
      </c>
      <c r="V6" s="3"/>
    </row>
    <row r="7" spans="1:22" x14ac:dyDescent="0.3">
      <c r="A7" s="8">
        <v>45843</v>
      </c>
      <c r="B7" s="11">
        <f>4200+13090+44450</f>
        <v>61740</v>
      </c>
      <c r="C7" s="9">
        <f t="shared" si="0"/>
        <v>56127.272727272721</v>
      </c>
      <c r="D7" s="9">
        <f t="shared" si="1"/>
        <v>5612.7272727272721</v>
      </c>
      <c r="E7" s="11">
        <f>6650+29985+15960</f>
        <v>52595</v>
      </c>
      <c r="F7" s="9">
        <f t="shared" si="2"/>
        <v>43829.166666666672</v>
      </c>
      <c r="G7" s="9">
        <f t="shared" si="3"/>
        <v>8765.8333333333339</v>
      </c>
      <c r="H7" s="11">
        <f>160+465+1930</f>
        <v>2555</v>
      </c>
      <c r="I7" s="9">
        <f t="shared" si="4"/>
        <v>2322.7272727272725</v>
      </c>
      <c r="J7" s="9">
        <f t="shared" si="5"/>
        <v>232.27272727272725</v>
      </c>
      <c r="K7" s="11">
        <f>1400+6000+5200</f>
        <v>12600</v>
      </c>
      <c r="L7" s="9">
        <f t="shared" si="6"/>
        <v>10500</v>
      </c>
      <c r="M7" s="9">
        <f t="shared" si="7"/>
        <v>2100</v>
      </c>
      <c r="N7" s="11">
        <f>720+875+1350</f>
        <v>2945</v>
      </c>
      <c r="O7" s="9">
        <f t="shared" si="8"/>
        <v>2454.166666666667</v>
      </c>
      <c r="P7" s="9">
        <f t="shared" si="9"/>
        <v>490.83333333333343</v>
      </c>
      <c r="Q7" s="9">
        <f>0</f>
        <v>0</v>
      </c>
      <c r="R7" s="11">
        <f>13130-2500+50415+68890</f>
        <v>129935</v>
      </c>
      <c r="S7" s="11">
        <f>2500</f>
        <v>2500</v>
      </c>
      <c r="T7" s="11">
        <v>1800</v>
      </c>
      <c r="U7" s="17">
        <f>12090+3600+15675+33850+33550</f>
        <v>98765</v>
      </c>
      <c r="V7" s="3"/>
    </row>
    <row r="8" spans="1:22" x14ac:dyDescent="0.3">
      <c r="A8" s="8">
        <v>45844</v>
      </c>
      <c r="B8" s="11">
        <f>2495+53025</f>
        <v>55520</v>
      </c>
      <c r="C8" s="9">
        <f t="shared" si="0"/>
        <v>50472.727272727272</v>
      </c>
      <c r="D8" s="9">
        <f t="shared" si="1"/>
        <v>5047.2727272727279</v>
      </c>
      <c r="E8" s="11">
        <f>6650+13675+1975</f>
        <v>22300</v>
      </c>
      <c r="F8" s="9">
        <f t="shared" si="2"/>
        <v>18583.333333333336</v>
      </c>
      <c r="G8" s="9">
        <f t="shared" si="3"/>
        <v>3716.6666666666674</v>
      </c>
      <c r="H8" s="11">
        <f>2375</f>
        <v>2375</v>
      </c>
      <c r="I8" s="9">
        <f t="shared" si="4"/>
        <v>2159.090909090909</v>
      </c>
      <c r="J8" s="9">
        <f t="shared" si="5"/>
        <v>215.90909090909091</v>
      </c>
      <c r="K8" s="11">
        <f>1800+400+5200</f>
        <v>7400</v>
      </c>
      <c r="L8" s="9">
        <f t="shared" si="6"/>
        <v>6166.666666666667</v>
      </c>
      <c r="M8" s="9">
        <f t="shared" si="7"/>
        <v>1233.3333333333335</v>
      </c>
      <c r="N8" s="9">
        <v>0</v>
      </c>
      <c r="O8" s="9">
        <f t="shared" si="8"/>
        <v>0</v>
      </c>
      <c r="P8" s="9">
        <f t="shared" si="9"/>
        <v>0</v>
      </c>
      <c r="Q8" s="9">
        <v>0</v>
      </c>
      <c r="R8" s="11">
        <f>8450+4870+74275</f>
        <v>87595</v>
      </c>
      <c r="S8" s="9">
        <v>0</v>
      </c>
      <c r="T8" s="9">
        <v>0</v>
      </c>
      <c r="U8" s="17">
        <f>68915</f>
        <v>68915</v>
      </c>
      <c r="V8" s="3"/>
    </row>
    <row r="9" spans="1:22" x14ac:dyDescent="0.3">
      <c r="A9" s="8">
        <v>45846</v>
      </c>
      <c r="B9" s="11">
        <f>12140+17910+7640</f>
        <v>37690</v>
      </c>
      <c r="C9" s="9">
        <f t="shared" si="0"/>
        <v>34263.63636363636</v>
      </c>
      <c r="D9" s="9">
        <f t="shared" si="1"/>
        <v>3426.363636363636</v>
      </c>
      <c r="E9" s="11">
        <f>1190+5590+7860</f>
        <v>14640</v>
      </c>
      <c r="F9" s="9">
        <f t="shared" si="2"/>
        <v>12200</v>
      </c>
      <c r="G9" s="9">
        <f t="shared" si="3"/>
        <v>2440</v>
      </c>
      <c r="H9" s="11">
        <f>465+1660</f>
        <v>2125</v>
      </c>
      <c r="I9" s="9">
        <f t="shared" si="4"/>
        <v>1931.8181818181818</v>
      </c>
      <c r="J9" s="9">
        <f t="shared" si="5"/>
        <v>193.18181818181819</v>
      </c>
      <c r="K9" s="11">
        <f>1200+2800+1400</f>
        <v>5400</v>
      </c>
      <c r="L9" s="9">
        <f t="shared" si="6"/>
        <v>4500</v>
      </c>
      <c r="M9" s="9">
        <f t="shared" si="7"/>
        <v>900</v>
      </c>
      <c r="N9" s="11">
        <v>800</v>
      </c>
      <c r="O9" s="9">
        <f t="shared" si="8"/>
        <v>666.66666666666674</v>
      </c>
      <c r="P9" s="9">
        <f t="shared" si="9"/>
        <v>133.33333333333334</v>
      </c>
      <c r="Q9" s="11">
        <f>2000</f>
        <v>2000</v>
      </c>
      <c r="R9" s="11">
        <f>14995+27960-6000+15700</f>
        <v>52655</v>
      </c>
      <c r="S9" s="11">
        <v>6000</v>
      </c>
      <c r="T9" s="11">
        <v>350</v>
      </c>
      <c r="U9" s="17">
        <f>38480+95+11000+11725</f>
        <v>61300</v>
      </c>
      <c r="V9" s="3"/>
    </row>
    <row r="10" spans="1:22" x14ac:dyDescent="0.3">
      <c r="A10" s="8">
        <v>45847</v>
      </c>
      <c r="B10" s="11">
        <f>8100+36320</f>
        <v>44420</v>
      </c>
      <c r="C10" s="9">
        <f t="shared" si="0"/>
        <v>40381.818181818177</v>
      </c>
      <c r="D10" s="9">
        <f t="shared" si="1"/>
        <v>4038.181818181818</v>
      </c>
      <c r="E10" s="11">
        <f>3650+4150+11130</f>
        <v>18930</v>
      </c>
      <c r="F10" s="9">
        <f t="shared" si="2"/>
        <v>15775</v>
      </c>
      <c r="G10" s="9">
        <f t="shared" si="3"/>
        <v>3155</v>
      </c>
      <c r="H10" s="11">
        <f>305+1715</f>
        <v>2020</v>
      </c>
      <c r="I10" s="9">
        <f t="shared" si="4"/>
        <v>1836.3636363636363</v>
      </c>
      <c r="J10" s="9">
        <f t="shared" si="5"/>
        <v>183.63636363636363</v>
      </c>
      <c r="K10" s="11">
        <f>1200+1200+4800</f>
        <v>7200</v>
      </c>
      <c r="L10" s="9">
        <f t="shared" si="6"/>
        <v>6000</v>
      </c>
      <c r="M10" s="9">
        <f t="shared" si="7"/>
        <v>1200</v>
      </c>
      <c r="N10" s="11">
        <v>500</v>
      </c>
      <c r="O10" s="9">
        <f t="shared" si="8"/>
        <v>416.66666666666669</v>
      </c>
      <c r="P10" s="9">
        <f t="shared" si="9"/>
        <v>83.333333333333343</v>
      </c>
      <c r="Q10" s="11">
        <f>1600+4065</f>
        <v>5665</v>
      </c>
      <c r="R10" s="11">
        <f>3250+11805+50400</f>
        <v>65455</v>
      </c>
      <c r="S10" s="11">
        <v>1950</v>
      </c>
      <c r="T10" s="9">
        <v>0</v>
      </c>
      <c r="U10" s="17">
        <v>82575</v>
      </c>
      <c r="V10" s="3"/>
    </row>
    <row r="11" spans="1:22" x14ac:dyDescent="0.3">
      <c r="A11" s="8">
        <v>45848</v>
      </c>
      <c r="B11" s="11">
        <f>12705+15205</f>
        <v>27910</v>
      </c>
      <c r="C11" s="9">
        <f t="shared" si="0"/>
        <v>25372.727272727272</v>
      </c>
      <c r="D11" s="9">
        <f t="shared" si="1"/>
        <v>2537.2727272727275</v>
      </c>
      <c r="E11" s="11">
        <f>2200+7200+1800</f>
        <v>11200</v>
      </c>
      <c r="F11" s="9">
        <f t="shared" si="2"/>
        <v>9333.3333333333339</v>
      </c>
      <c r="G11" s="9">
        <f t="shared" si="3"/>
        <v>1866.666666666667</v>
      </c>
      <c r="H11" s="11">
        <f>1220+1035+1275</f>
        <v>3530</v>
      </c>
      <c r="I11" s="9">
        <f t="shared" si="4"/>
        <v>3209.090909090909</v>
      </c>
      <c r="J11" s="9">
        <f t="shared" si="5"/>
        <v>320.90909090909093</v>
      </c>
      <c r="K11" s="11">
        <f>1700+2800+1000</f>
        <v>5500</v>
      </c>
      <c r="L11" s="9">
        <f t="shared" si="6"/>
        <v>4583.3333333333339</v>
      </c>
      <c r="M11" s="9">
        <f t="shared" si="7"/>
        <v>916.66666666666686</v>
      </c>
      <c r="N11" s="11">
        <v>830</v>
      </c>
      <c r="O11" s="9">
        <f t="shared" si="8"/>
        <v>691.66666666666674</v>
      </c>
      <c r="P11" s="9">
        <f t="shared" si="9"/>
        <v>138.33333333333334</v>
      </c>
      <c r="Q11" s="11">
        <f>10165</f>
        <v>10165</v>
      </c>
      <c r="R11" s="11">
        <f>17825+16905+4075</f>
        <v>38805</v>
      </c>
      <c r="S11" s="9">
        <v>0</v>
      </c>
      <c r="T11" s="9">
        <v>0</v>
      </c>
      <c r="U11" s="14">
        <v>0</v>
      </c>
      <c r="V11" s="3"/>
    </row>
    <row r="12" spans="1:22" x14ac:dyDescent="0.3">
      <c r="A12" s="8">
        <v>45849</v>
      </c>
      <c r="B12" s="11">
        <f>12350+45875+250</f>
        <v>58475</v>
      </c>
      <c r="C12" s="9">
        <f t="shared" si="0"/>
        <v>53159.090909090904</v>
      </c>
      <c r="D12" s="9">
        <f t="shared" si="1"/>
        <v>5315.909090909091</v>
      </c>
      <c r="E12" s="11">
        <f>7250+9655+5500</f>
        <v>22405</v>
      </c>
      <c r="F12" s="9">
        <f t="shared" si="2"/>
        <v>18670.833333333336</v>
      </c>
      <c r="G12" s="9">
        <f t="shared" si="3"/>
        <v>3734.1666666666674</v>
      </c>
      <c r="H12" s="11">
        <f>1800+1185+1700</f>
        <v>4685</v>
      </c>
      <c r="I12" s="9">
        <f t="shared" si="4"/>
        <v>4259.090909090909</v>
      </c>
      <c r="J12" s="9">
        <f t="shared" si="5"/>
        <v>425.90909090909093</v>
      </c>
      <c r="K12" s="11">
        <f>1800+4600+2400</f>
        <v>8800</v>
      </c>
      <c r="L12" s="9">
        <f t="shared" si="6"/>
        <v>7333.3333333333339</v>
      </c>
      <c r="M12" s="9">
        <f t="shared" si="7"/>
        <v>1466.666666666667</v>
      </c>
      <c r="N12" s="11">
        <f>2200+5671.5+1110+1250</f>
        <v>10231.5</v>
      </c>
      <c r="O12" s="9">
        <f t="shared" si="8"/>
        <v>8526.25</v>
      </c>
      <c r="P12" s="9">
        <f t="shared" si="9"/>
        <v>1705.25</v>
      </c>
      <c r="Q12" s="11">
        <f>1670+5047.5+1815</f>
        <v>8532.5</v>
      </c>
      <c r="R12" s="11">
        <f>23730-8611.5+61939+10395</f>
        <v>87452.5</v>
      </c>
      <c r="S12" s="11">
        <v>8611.5</v>
      </c>
      <c r="T12" s="9">
        <v>0</v>
      </c>
      <c r="U12" s="17">
        <f>42472.5+16775</f>
        <v>59247.5</v>
      </c>
      <c r="V12" s="3"/>
    </row>
    <row r="13" spans="1:22" x14ac:dyDescent="0.3">
      <c r="A13" s="8">
        <v>45850</v>
      </c>
      <c r="B13" s="11">
        <f>60545+5925</f>
        <v>66470</v>
      </c>
      <c r="C13" s="9">
        <f t="shared" si="0"/>
        <v>60427.272727272721</v>
      </c>
      <c r="D13" s="9">
        <f t="shared" si="1"/>
        <v>6042.7272727272721</v>
      </c>
      <c r="E13" s="11">
        <f>11740+7400+6500</f>
        <v>25640</v>
      </c>
      <c r="F13" s="9">
        <f t="shared" si="2"/>
        <v>21366.666666666668</v>
      </c>
      <c r="G13" s="9">
        <f t="shared" si="3"/>
        <v>4273.3333333333339</v>
      </c>
      <c r="H13" s="11">
        <f>6030+1455</f>
        <v>7485</v>
      </c>
      <c r="I13" s="9">
        <f t="shared" si="4"/>
        <v>6804.545454545454</v>
      </c>
      <c r="J13" s="9">
        <f t="shared" si="5"/>
        <v>680.4545454545455</v>
      </c>
      <c r="K13" s="11">
        <f>7800+1400+2000</f>
        <v>11200</v>
      </c>
      <c r="L13" s="9">
        <f t="shared" si="6"/>
        <v>9333.3333333333339</v>
      </c>
      <c r="M13" s="9">
        <f t="shared" si="7"/>
        <v>1866.666666666667</v>
      </c>
      <c r="N13" s="11">
        <f>7886.5+880+1528</f>
        <v>10294.5</v>
      </c>
      <c r="O13" s="9">
        <f t="shared" si="8"/>
        <v>8578.75</v>
      </c>
      <c r="P13" s="9">
        <f t="shared" si="9"/>
        <v>1715.75</v>
      </c>
      <c r="Q13" s="11">
        <f>3865</f>
        <v>3865</v>
      </c>
      <c r="R13" s="11">
        <f>90136.5+9680+17408</f>
        <v>117224.5</v>
      </c>
      <c r="S13" s="9">
        <v>0</v>
      </c>
      <c r="T13" s="11">
        <v>1800</v>
      </c>
      <c r="U13" s="17">
        <f>25821.5+19800</f>
        <v>45621.5</v>
      </c>
      <c r="V13" s="3"/>
    </row>
    <row r="14" spans="1:22" x14ac:dyDescent="0.3">
      <c r="A14" s="8">
        <v>45851</v>
      </c>
      <c r="B14" s="11">
        <f>5000+48690+3125</f>
        <v>56815</v>
      </c>
      <c r="C14" s="9">
        <f t="shared" si="0"/>
        <v>51649.999999999993</v>
      </c>
      <c r="D14" s="9">
        <f t="shared" si="1"/>
        <v>5165</v>
      </c>
      <c r="E14" s="11">
        <f>13250+2850+13205</f>
        <v>29305</v>
      </c>
      <c r="F14" s="9">
        <f t="shared" si="2"/>
        <v>24420.833333333336</v>
      </c>
      <c r="G14" s="9">
        <f t="shared" si="3"/>
        <v>4884.166666666667</v>
      </c>
      <c r="H14" s="11">
        <f>1925+1285</f>
        <v>3210</v>
      </c>
      <c r="I14" s="9">
        <f t="shared" si="4"/>
        <v>2918.181818181818</v>
      </c>
      <c r="J14" s="9">
        <f t="shared" si="5"/>
        <v>291.81818181818181</v>
      </c>
      <c r="K14" s="11">
        <f>4800+400+4900</f>
        <v>10100</v>
      </c>
      <c r="L14" s="9">
        <f t="shared" si="6"/>
        <v>8416.6666666666679</v>
      </c>
      <c r="M14" s="9">
        <f t="shared" si="7"/>
        <v>1683.3333333333337</v>
      </c>
      <c r="N14" s="11">
        <f>2270+785+4500.5+500</f>
        <v>8055.5</v>
      </c>
      <c r="O14" s="9">
        <f t="shared" si="8"/>
        <v>6712.916666666667</v>
      </c>
      <c r="P14" s="9">
        <f t="shared" si="9"/>
        <v>1342.5833333333335</v>
      </c>
      <c r="Q14" s="11">
        <f>5227.5+3601</f>
        <v>8828.5</v>
      </c>
      <c r="R14" s="11">
        <f>20142.5+5493+69479.5</f>
        <v>95115</v>
      </c>
      <c r="S14" s="11">
        <v>3542</v>
      </c>
      <c r="T14" s="11">
        <v>40</v>
      </c>
      <c r="U14" s="17">
        <f>10642+19687.5</f>
        <v>30329.5</v>
      </c>
      <c r="V14" s="3"/>
    </row>
    <row r="15" spans="1:22" x14ac:dyDescent="0.3">
      <c r="A15" s="8">
        <v>45853</v>
      </c>
      <c r="B15" s="11">
        <f>2064.9+1375+43340</f>
        <v>46779.9</v>
      </c>
      <c r="C15" s="9">
        <f t="shared" si="0"/>
        <v>42527.181818181816</v>
      </c>
      <c r="D15" s="9">
        <f t="shared" si="1"/>
        <v>4252.7181818181816</v>
      </c>
      <c r="E15" s="11">
        <f>1557.52+2450+2905+11660</f>
        <v>18572.52</v>
      </c>
      <c r="F15" s="9">
        <f t="shared" si="2"/>
        <v>15477.1</v>
      </c>
      <c r="G15" s="9">
        <f t="shared" si="3"/>
        <v>3095.42</v>
      </c>
      <c r="H15" s="11">
        <f>75+1415</f>
        <v>1490</v>
      </c>
      <c r="I15" s="9">
        <f t="shared" si="4"/>
        <v>1354.5454545454545</v>
      </c>
      <c r="J15" s="9">
        <f t="shared" si="5"/>
        <v>135.45454545454547</v>
      </c>
      <c r="K15" s="11">
        <f>377.58+800+400+5100</f>
        <v>6677.58</v>
      </c>
      <c r="L15" s="9">
        <f t="shared" si="6"/>
        <v>5564.6500000000005</v>
      </c>
      <c r="M15" s="9">
        <f t="shared" si="7"/>
        <v>1112.93</v>
      </c>
      <c r="N15" s="11">
        <f>325+435.5+5691.5</f>
        <v>6452</v>
      </c>
      <c r="O15" s="9">
        <f t="shared" si="8"/>
        <v>5376.666666666667</v>
      </c>
      <c r="P15" s="9">
        <f t="shared" si="9"/>
        <v>1075.3333333333335</v>
      </c>
      <c r="Q15" s="9">
        <f>0</f>
        <v>0</v>
      </c>
      <c r="R15" s="11">
        <f>4000+3575+5190.5+67206.5</f>
        <v>79972</v>
      </c>
      <c r="S15" s="9">
        <v>0</v>
      </c>
      <c r="T15" s="9">
        <v>0</v>
      </c>
      <c r="U15" s="17">
        <v>36747.5</v>
      </c>
      <c r="V15" s="3"/>
    </row>
    <row r="16" spans="1:22" x14ac:dyDescent="0.3">
      <c r="A16" s="8">
        <v>45854</v>
      </c>
      <c r="B16" s="11">
        <f>800+29275</f>
        <v>30075</v>
      </c>
      <c r="C16" s="9">
        <f t="shared" si="0"/>
        <v>27340.909090909088</v>
      </c>
      <c r="D16" s="9">
        <f t="shared" si="1"/>
        <v>2734.090909090909</v>
      </c>
      <c r="E16" s="11">
        <f>600+7300+5945</f>
        <v>13845</v>
      </c>
      <c r="F16" s="9">
        <f t="shared" si="2"/>
        <v>11537.5</v>
      </c>
      <c r="G16" s="9">
        <f t="shared" si="3"/>
        <v>2307.5</v>
      </c>
      <c r="H16" s="11">
        <f>1700+425+1120</f>
        <v>3245</v>
      </c>
      <c r="I16" s="9">
        <f t="shared" si="4"/>
        <v>2949.9999999999995</v>
      </c>
      <c r="J16" s="9">
        <f t="shared" si="5"/>
        <v>294.99999999999994</v>
      </c>
      <c r="K16" s="11">
        <f>800+1600+4300</f>
        <v>6700</v>
      </c>
      <c r="L16" s="9">
        <f t="shared" si="6"/>
        <v>5583.3333333333339</v>
      </c>
      <c r="M16" s="9">
        <f t="shared" si="7"/>
        <v>1116.6666666666667</v>
      </c>
      <c r="N16" s="11">
        <f>310+1012.5+3684</f>
        <v>5006.5</v>
      </c>
      <c r="O16" s="9">
        <f t="shared" si="8"/>
        <v>4172.0833333333339</v>
      </c>
      <c r="P16" s="9">
        <f t="shared" si="9"/>
        <v>834.41666666666686</v>
      </c>
      <c r="Q16" s="9">
        <v>0</v>
      </c>
      <c r="R16" s="11">
        <f>1842.5+11137.5+44324</f>
        <v>57304</v>
      </c>
      <c r="S16" s="11">
        <v>1567.5</v>
      </c>
      <c r="T16" s="9">
        <v>0</v>
      </c>
      <c r="U16" s="17">
        <f>10665</f>
        <v>10665</v>
      </c>
      <c r="V16" s="3"/>
    </row>
    <row r="17" spans="1:22" x14ac:dyDescent="0.3">
      <c r="A17" s="8">
        <v>45855</v>
      </c>
      <c r="B17" s="11">
        <f>550+3450+36170</f>
        <v>40170</v>
      </c>
      <c r="C17" s="9">
        <f t="shared" si="0"/>
        <v>36518.181818181816</v>
      </c>
      <c r="D17" s="9">
        <f t="shared" si="1"/>
        <v>3651.818181818182</v>
      </c>
      <c r="E17" s="11">
        <f>4200+3600+13275</f>
        <v>21075</v>
      </c>
      <c r="F17" s="9">
        <f t="shared" si="2"/>
        <v>17562.5</v>
      </c>
      <c r="G17" s="9">
        <f t="shared" si="3"/>
        <v>3512.5</v>
      </c>
      <c r="H17" s="11">
        <f>425+875+400</f>
        <v>1700</v>
      </c>
      <c r="I17" s="9">
        <f t="shared" si="4"/>
        <v>1545.4545454545453</v>
      </c>
      <c r="J17" s="9">
        <f t="shared" si="5"/>
        <v>154.54545454545453</v>
      </c>
      <c r="K17" s="11">
        <f>1600+1400+3600</f>
        <v>6600</v>
      </c>
      <c r="L17" s="9">
        <f t="shared" si="6"/>
        <v>5500</v>
      </c>
      <c r="M17" s="9">
        <f t="shared" si="7"/>
        <v>1100</v>
      </c>
      <c r="N17" s="11">
        <f>677.5+892.5+4984.5</f>
        <v>6554.5</v>
      </c>
      <c r="O17" s="9">
        <f t="shared" si="8"/>
        <v>5462.0833333333339</v>
      </c>
      <c r="P17" s="9">
        <f t="shared" si="9"/>
        <v>1092.4166666666667</v>
      </c>
      <c r="Q17" s="11">
        <f>3052.5+4067.5</f>
        <v>7120</v>
      </c>
      <c r="R17" s="11">
        <f>4400+6150+58429.5</f>
        <v>68979.5</v>
      </c>
      <c r="S17" s="9">
        <v>0</v>
      </c>
      <c r="T17" s="9">
        <v>0</v>
      </c>
      <c r="U17" s="14">
        <v>0</v>
      </c>
      <c r="V17" s="3"/>
    </row>
    <row r="18" spans="1:22" x14ac:dyDescent="0.3">
      <c r="A18" s="8">
        <v>45856</v>
      </c>
      <c r="B18" s="11">
        <f>2625+28925</f>
        <v>31550</v>
      </c>
      <c r="C18" s="9">
        <f t="shared" si="0"/>
        <v>28681.81818181818</v>
      </c>
      <c r="D18" s="9">
        <f t="shared" si="1"/>
        <v>2868.181818181818</v>
      </c>
      <c r="E18" s="11">
        <f>5510+5875+7320</f>
        <v>18705</v>
      </c>
      <c r="F18" s="9">
        <f t="shared" si="2"/>
        <v>15587.5</v>
      </c>
      <c r="G18" s="9">
        <f t="shared" si="3"/>
        <v>3117.5</v>
      </c>
      <c r="H18" s="11">
        <f>1860+1125</f>
        <v>2985</v>
      </c>
      <c r="I18" s="9">
        <f t="shared" si="4"/>
        <v>2713.6363636363635</v>
      </c>
      <c r="J18" s="9">
        <f t="shared" si="5"/>
        <v>271.36363636363637</v>
      </c>
      <c r="K18" s="11">
        <f>400+2000+3000</f>
        <v>5400</v>
      </c>
      <c r="L18" s="9">
        <f t="shared" si="6"/>
        <v>4500</v>
      </c>
      <c r="M18" s="9">
        <f t="shared" si="7"/>
        <v>900</v>
      </c>
      <c r="N18" s="11">
        <f>813.5+988.5+1800+2962</f>
        <v>6564</v>
      </c>
      <c r="O18" s="9">
        <f t="shared" si="8"/>
        <v>5470</v>
      </c>
      <c r="P18" s="9">
        <f t="shared" si="9"/>
        <v>1094</v>
      </c>
      <c r="Q18" s="11">
        <f>2022</f>
        <v>2022</v>
      </c>
      <c r="R18" s="11">
        <f>9348.5+9151.5+43332-9977.5</f>
        <v>51854.5</v>
      </c>
      <c r="S18" s="11">
        <f>9977.5+1350</f>
        <v>11327.5</v>
      </c>
      <c r="T18" s="9">
        <v>0</v>
      </c>
      <c r="U18" s="17">
        <f>34461+9977.5</f>
        <v>44438.5</v>
      </c>
      <c r="V18" s="3"/>
    </row>
    <row r="19" spans="1:22" x14ac:dyDescent="0.3">
      <c r="A19" s="8">
        <v>45857</v>
      </c>
      <c r="B19" s="11">
        <f>2295+48025</f>
        <v>50320</v>
      </c>
      <c r="C19" s="9">
        <f t="shared" si="0"/>
        <v>45745.454545454544</v>
      </c>
      <c r="D19" s="9">
        <f t="shared" si="1"/>
        <v>4574.545454545455</v>
      </c>
      <c r="E19" s="11">
        <f>4385+2900+8200+18625</f>
        <v>34110</v>
      </c>
      <c r="F19" s="9">
        <f t="shared" si="2"/>
        <v>28425</v>
      </c>
      <c r="G19" s="9">
        <f t="shared" si="3"/>
        <v>5685</v>
      </c>
      <c r="H19" s="11">
        <f>1150+300+1745</f>
        <v>3195</v>
      </c>
      <c r="I19" s="9">
        <f t="shared" si="4"/>
        <v>2904.5454545454545</v>
      </c>
      <c r="J19" s="9">
        <f t="shared" si="5"/>
        <v>290.45454545454544</v>
      </c>
      <c r="K19" s="11">
        <f>1200+1400+7500</f>
        <v>10100</v>
      </c>
      <c r="L19" s="9">
        <f t="shared" si="6"/>
        <v>8416.6666666666679</v>
      </c>
      <c r="M19" s="9">
        <f t="shared" si="7"/>
        <v>1683.3333333333337</v>
      </c>
      <c r="N19" s="11">
        <f>668+525+990+6487</f>
        <v>8670</v>
      </c>
      <c r="O19" s="9">
        <f t="shared" si="8"/>
        <v>7225</v>
      </c>
      <c r="P19" s="9">
        <f t="shared" si="9"/>
        <v>1445</v>
      </c>
      <c r="Q19" s="11">
        <f>1820</f>
        <v>1820</v>
      </c>
      <c r="R19" s="11">
        <f>7348+5775+7140+80562-8395</f>
        <v>92430</v>
      </c>
      <c r="S19" s="11">
        <f>12145</f>
        <v>12145</v>
      </c>
      <c r="T19" s="11">
        <f>1600+600</f>
        <v>2200</v>
      </c>
      <c r="U19" s="17">
        <f>30950+8395+48000+18885</f>
        <v>106230</v>
      </c>
      <c r="V19" s="3"/>
    </row>
    <row r="20" spans="1:22" x14ac:dyDescent="0.3">
      <c r="A20" s="8">
        <v>45858</v>
      </c>
      <c r="B20" s="11">
        <f>60020+550</f>
        <v>60570</v>
      </c>
      <c r="C20" s="9">
        <f t="shared" si="0"/>
        <v>55063.63636363636</v>
      </c>
      <c r="D20" s="9">
        <f t="shared" si="1"/>
        <v>5506.363636363636</v>
      </c>
      <c r="E20" s="11">
        <f>15010+1450</f>
        <v>16460</v>
      </c>
      <c r="F20" s="9">
        <f t="shared" si="2"/>
        <v>13716.666666666668</v>
      </c>
      <c r="G20" s="9">
        <f t="shared" si="3"/>
        <v>2743.3333333333339</v>
      </c>
      <c r="H20" s="11">
        <f>3450</f>
        <v>3450</v>
      </c>
      <c r="I20" s="9">
        <f t="shared" si="4"/>
        <v>3136.363636363636</v>
      </c>
      <c r="J20" s="9">
        <f t="shared" si="5"/>
        <v>313.63636363636363</v>
      </c>
      <c r="K20" s="11">
        <f>6400+400</f>
        <v>6800</v>
      </c>
      <c r="L20" s="9">
        <f t="shared" si="6"/>
        <v>5666.666666666667</v>
      </c>
      <c r="M20" s="9">
        <f t="shared" si="7"/>
        <v>1133.3333333333335</v>
      </c>
      <c r="N20" s="11">
        <f>7223+240</f>
        <v>7463</v>
      </c>
      <c r="O20" s="9">
        <f t="shared" si="8"/>
        <v>6219.166666666667</v>
      </c>
      <c r="P20" s="9">
        <f t="shared" si="9"/>
        <v>1243.8333333333335</v>
      </c>
      <c r="Q20" s="9">
        <f>0</f>
        <v>0</v>
      </c>
      <c r="R20" s="11">
        <f>92103</f>
        <v>92103</v>
      </c>
      <c r="S20" s="11">
        <v>2640</v>
      </c>
      <c r="T20" s="9">
        <v>0</v>
      </c>
      <c r="U20" s="17">
        <v>24250</v>
      </c>
      <c r="V20" s="3"/>
    </row>
    <row r="21" spans="1:22" x14ac:dyDescent="0.3">
      <c r="A21" s="8">
        <v>45860</v>
      </c>
      <c r="B21" s="11">
        <f>3745+26100</f>
        <v>29845</v>
      </c>
      <c r="C21" s="9">
        <f t="shared" si="0"/>
        <v>27131.81818181818</v>
      </c>
      <c r="D21" s="9">
        <f t="shared" si="1"/>
        <v>2713.181818181818</v>
      </c>
      <c r="E21" s="11">
        <f>2100+6850+6895</f>
        <v>15845</v>
      </c>
      <c r="F21" s="9">
        <f t="shared" si="2"/>
        <v>13204.166666666668</v>
      </c>
      <c r="G21" s="9">
        <f t="shared" si="3"/>
        <v>2640.8333333333339</v>
      </c>
      <c r="H21" s="11">
        <f>1110</f>
        <v>1110</v>
      </c>
      <c r="I21" s="9">
        <f t="shared" si="4"/>
        <v>1009.090909090909</v>
      </c>
      <c r="J21" s="9">
        <f t="shared" si="5"/>
        <v>100.90909090909091</v>
      </c>
      <c r="K21" s="11">
        <f>600+1600+2600</f>
        <v>4800</v>
      </c>
      <c r="L21" s="9">
        <f t="shared" si="6"/>
        <v>4000</v>
      </c>
      <c r="M21" s="9">
        <f t="shared" si="7"/>
        <v>800</v>
      </c>
      <c r="N21" s="11">
        <f>270+1179.5+3410.5</f>
        <v>4860</v>
      </c>
      <c r="O21" s="9">
        <f t="shared" si="8"/>
        <v>4050</v>
      </c>
      <c r="P21" s="9">
        <f t="shared" si="9"/>
        <v>810</v>
      </c>
      <c r="Q21" s="11">
        <f>4519.5</f>
        <v>4519.5</v>
      </c>
      <c r="R21" s="11">
        <f>2970+8855+40115.5-9301</f>
        <v>42639.5</v>
      </c>
      <c r="S21" s="11">
        <v>9301</v>
      </c>
      <c r="T21" s="11">
        <v>2007.5</v>
      </c>
      <c r="U21" s="17">
        <f>20900+2007.5+14372+10000</f>
        <v>47279.5</v>
      </c>
      <c r="V21" s="3"/>
    </row>
    <row r="22" spans="1:22" x14ac:dyDescent="0.3">
      <c r="A22" s="8">
        <v>45861</v>
      </c>
      <c r="B22" s="11">
        <f>26600+1375+4025</f>
        <v>32000</v>
      </c>
      <c r="C22" s="9">
        <f t="shared" si="0"/>
        <v>29090.909090909088</v>
      </c>
      <c r="D22" s="9">
        <f t="shared" si="1"/>
        <v>2909.090909090909</v>
      </c>
      <c r="E22" s="11">
        <f>3550+5670+2850+13000</f>
        <v>25070</v>
      </c>
      <c r="F22" s="9">
        <f t="shared" si="2"/>
        <v>20891.666666666668</v>
      </c>
      <c r="G22" s="9">
        <f t="shared" si="3"/>
        <v>4178.3333333333339</v>
      </c>
      <c r="H22" s="11">
        <f>845</f>
        <v>845</v>
      </c>
      <c r="I22" s="9">
        <f t="shared" si="4"/>
        <v>768.18181818181813</v>
      </c>
      <c r="J22" s="9">
        <f t="shared" si="5"/>
        <v>76.818181818181813</v>
      </c>
      <c r="K22" s="11">
        <f>1000+2400+400+400</f>
        <v>4200</v>
      </c>
      <c r="L22" s="9">
        <f t="shared" si="6"/>
        <v>3500</v>
      </c>
      <c r="M22" s="9">
        <f t="shared" si="7"/>
        <v>700</v>
      </c>
      <c r="N22" s="11">
        <f>455+3311.5+687.5+887.5+500</f>
        <v>5841.5</v>
      </c>
      <c r="O22" s="9">
        <f t="shared" si="8"/>
        <v>4867.916666666667</v>
      </c>
      <c r="P22" s="9">
        <f t="shared" si="9"/>
        <v>973.58333333333348</v>
      </c>
      <c r="Q22" s="9">
        <f>0</f>
        <v>0</v>
      </c>
      <c r="R22" s="11">
        <f>5005+38826.5+7962.5+16162.5</f>
        <v>67956.5</v>
      </c>
      <c r="S22" s="9">
        <v>0</v>
      </c>
      <c r="T22" s="9">
        <v>0</v>
      </c>
      <c r="U22" s="17">
        <v>29257.5</v>
      </c>
      <c r="V22" s="3"/>
    </row>
    <row r="23" spans="1:22" x14ac:dyDescent="0.3">
      <c r="A23" s="8">
        <v>45862</v>
      </c>
      <c r="B23" s="11">
        <f>6027.55+2825+525+2450+36250</f>
        <v>48077.55</v>
      </c>
      <c r="C23" s="9">
        <f t="shared" ref="C23:C29" si="10">B23/1.1</f>
        <v>43706.863636363632</v>
      </c>
      <c r="D23" s="9">
        <f t="shared" ref="D23:D29" si="11">C23*0.1</f>
        <v>4370.6863636363632</v>
      </c>
      <c r="E23" s="11">
        <f>5746.46+2100+4200+5890</f>
        <v>17936.46</v>
      </c>
      <c r="F23" s="9">
        <f t="shared" ref="F23:F29" si="12">E23/1.2</f>
        <v>14947.05</v>
      </c>
      <c r="G23" s="9">
        <f t="shared" ref="G23:G29" si="13">F23*0.2</f>
        <v>2989.41</v>
      </c>
      <c r="H23" s="11">
        <f>135+3480</f>
        <v>3615</v>
      </c>
      <c r="I23" s="9">
        <f t="shared" ref="I23:I29" si="14">H23/1.1</f>
        <v>3286.363636363636</v>
      </c>
      <c r="J23" s="9">
        <f t="shared" ref="J23:J29" si="15">I23*0.1</f>
        <v>328.63636363636363</v>
      </c>
      <c r="K23" s="11">
        <f>1355.99+400+400+1200+3600</f>
        <v>6955.99</v>
      </c>
      <c r="L23" s="9">
        <f t="shared" ref="L23:L29" si="16">K23/1.2</f>
        <v>5796.6583333333338</v>
      </c>
      <c r="M23" s="9">
        <f t="shared" ref="M23:M29" si="17">L23*0.2</f>
        <v>1159.3316666666667</v>
      </c>
      <c r="N23" s="11">
        <f>373+296+302.5+785+4562</f>
        <v>6318.5</v>
      </c>
      <c r="O23" s="9">
        <f t="shared" ref="O23:O29" si="18">N23/1.2</f>
        <v>5265.416666666667</v>
      </c>
      <c r="P23" s="9">
        <f t="shared" ref="P23:P29" si="19">O23*0.2</f>
        <v>1053.0833333333335</v>
      </c>
      <c r="Q23" s="11">
        <f>1080+600</f>
        <v>1680</v>
      </c>
      <c r="R23" s="11">
        <f>13503+3656+3327.5+8035+52702-7330</f>
        <v>73893.5</v>
      </c>
      <c r="S23" s="11">
        <v>7330</v>
      </c>
      <c r="T23" s="9">
        <v>0</v>
      </c>
      <c r="U23" s="17">
        <f>27920+10564.5+10707</f>
        <v>49191.5</v>
      </c>
      <c r="V23" s="3"/>
    </row>
    <row r="24" spans="1:22" x14ac:dyDescent="0.3">
      <c r="A24" s="8">
        <v>45863</v>
      </c>
      <c r="B24" s="11">
        <f>995+9475+27675+10550+9575</f>
        <v>58270</v>
      </c>
      <c r="C24" s="9">
        <f t="shared" si="10"/>
        <v>52972.727272727272</v>
      </c>
      <c r="D24" s="9">
        <f t="shared" si="11"/>
        <v>5297.2727272727279</v>
      </c>
      <c r="E24" s="11">
        <f>7100+2150+6680+5325+3015</f>
        <v>24270</v>
      </c>
      <c r="F24" s="9">
        <f t="shared" si="12"/>
        <v>20225</v>
      </c>
      <c r="G24" s="9">
        <f t="shared" si="13"/>
        <v>4045</v>
      </c>
      <c r="H24" s="11">
        <f>725+485+300</f>
        <v>1510</v>
      </c>
      <c r="I24" s="9">
        <f t="shared" si="14"/>
        <v>1372.7272727272725</v>
      </c>
      <c r="J24" s="9">
        <f t="shared" si="15"/>
        <v>137.27272727272725</v>
      </c>
      <c r="K24" s="11">
        <f>1400+1750+4700+1200+800</f>
        <v>9850</v>
      </c>
      <c r="L24" s="9">
        <f t="shared" si="16"/>
        <v>8208.3333333333339</v>
      </c>
      <c r="M24" s="9">
        <f t="shared" si="17"/>
        <v>1641.666666666667</v>
      </c>
      <c r="N24" s="11">
        <f>949.5+800+3634+1617.5+1259</f>
        <v>8260</v>
      </c>
      <c r="O24" s="9">
        <f t="shared" si="18"/>
        <v>6883.3333333333339</v>
      </c>
      <c r="P24" s="9">
        <f t="shared" si="19"/>
        <v>1376.666666666667</v>
      </c>
      <c r="Q24" s="9">
        <f>0</f>
        <v>0</v>
      </c>
      <c r="R24" s="11">
        <f>10444.5+14900+43174+18992.5+14649</f>
        <v>102160</v>
      </c>
      <c r="S24" s="9">
        <v>0</v>
      </c>
      <c r="T24" s="9">
        <v>0</v>
      </c>
      <c r="U24" s="17">
        <f>26661.5+12013</f>
        <v>38674.5</v>
      </c>
      <c r="V24" s="3"/>
    </row>
    <row r="25" spans="1:22" x14ac:dyDescent="0.3">
      <c r="A25" s="8">
        <v>45864</v>
      </c>
      <c r="B25" s="11">
        <f>2900+58007.21</f>
        <v>60907.21</v>
      </c>
      <c r="C25" s="9">
        <f t="shared" si="10"/>
        <v>55370.190909090903</v>
      </c>
      <c r="D25" s="9">
        <f t="shared" si="11"/>
        <v>5537.0190909090907</v>
      </c>
      <c r="E25" s="11">
        <f>6500+3500+17710.42</f>
        <v>27710.42</v>
      </c>
      <c r="F25" s="9">
        <f t="shared" si="12"/>
        <v>23092.016666666666</v>
      </c>
      <c r="G25" s="9">
        <f t="shared" si="13"/>
        <v>4618.4033333333336</v>
      </c>
      <c r="H25" s="11">
        <f>660+135+4265</f>
        <v>5060</v>
      </c>
      <c r="I25" s="9">
        <f t="shared" si="14"/>
        <v>4600</v>
      </c>
      <c r="J25" s="9">
        <f t="shared" si="15"/>
        <v>460</v>
      </c>
      <c r="K25" s="11">
        <f>1000+1200+9142.37</f>
        <v>11342.37</v>
      </c>
      <c r="L25" s="9">
        <f t="shared" si="16"/>
        <v>9451.9750000000004</v>
      </c>
      <c r="M25" s="9">
        <f t="shared" si="17"/>
        <v>1890.3950000000002</v>
      </c>
      <c r="N25" s="11">
        <f>1066+483.5+7692.5</f>
        <v>9242</v>
      </c>
      <c r="O25" s="9">
        <f t="shared" si="18"/>
        <v>7701.666666666667</v>
      </c>
      <c r="P25" s="9">
        <f t="shared" si="19"/>
        <v>1540.3333333333335</v>
      </c>
      <c r="Q25" s="11">
        <f>1402.5+6285.5</f>
        <v>7688</v>
      </c>
      <c r="R25" s="11">
        <f>10723.5+5318.5+90532</f>
        <v>106574</v>
      </c>
      <c r="S25" s="9">
        <v>0</v>
      </c>
      <c r="T25" s="11">
        <f>4600+440</f>
        <v>5040</v>
      </c>
      <c r="U25" s="17">
        <f>15731+26200+2850</f>
        <v>44781</v>
      </c>
      <c r="V25" s="3"/>
    </row>
    <row r="26" spans="1:22" x14ac:dyDescent="0.3">
      <c r="A26" s="8">
        <v>45865</v>
      </c>
      <c r="B26" s="11">
        <f>5700+3000+65075</f>
        <v>73775</v>
      </c>
      <c r="C26" s="9">
        <f t="shared" si="10"/>
        <v>67068.181818181809</v>
      </c>
      <c r="D26" s="9">
        <f t="shared" si="11"/>
        <v>6706.8181818181811</v>
      </c>
      <c r="E26" s="11">
        <f>2150+2200+2550+10640</f>
        <v>17540</v>
      </c>
      <c r="F26" s="9">
        <f t="shared" si="12"/>
        <v>14616.666666666668</v>
      </c>
      <c r="G26" s="9">
        <f t="shared" si="13"/>
        <v>2923.3333333333339</v>
      </c>
      <c r="H26" s="11">
        <f>3955</f>
        <v>3955</v>
      </c>
      <c r="I26" s="9">
        <f t="shared" si="14"/>
        <v>3595.454545454545</v>
      </c>
      <c r="J26" s="9">
        <f t="shared" si="15"/>
        <v>359.5454545454545</v>
      </c>
      <c r="K26" s="11">
        <f>400+800+5800</f>
        <v>7000</v>
      </c>
      <c r="L26" s="9">
        <f t="shared" si="16"/>
        <v>5833.3333333333339</v>
      </c>
      <c r="M26" s="9">
        <f t="shared" si="17"/>
        <v>1166.6666666666667</v>
      </c>
      <c r="N26" s="11">
        <f>255+790+555+7230</f>
        <v>8830</v>
      </c>
      <c r="O26" s="9">
        <f t="shared" si="18"/>
        <v>7358.3333333333339</v>
      </c>
      <c r="P26" s="9">
        <f t="shared" si="19"/>
        <v>1471.666666666667</v>
      </c>
      <c r="Q26" s="9">
        <f>0</f>
        <v>0</v>
      </c>
      <c r="R26" s="11">
        <f>8690+6905+92700-10965</f>
        <v>97330</v>
      </c>
      <c r="S26" s="11">
        <f>2805+10965</f>
        <v>13770</v>
      </c>
      <c r="T26" s="9">
        <v>0</v>
      </c>
      <c r="U26" s="17">
        <f>25258+23748.5</f>
        <v>49006.5</v>
      </c>
      <c r="V26" s="3"/>
    </row>
    <row r="27" spans="1:22" x14ac:dyDescent="0.3">
      <c r="A27" s="8">
        <v>45867</v>
      </c>
      <c r="B27" s="11">
        <f>17800+28675</f>
        <v>46475</v>
      </c>
      <c r="C27" s="9">
        <f t="shared" si="10"/>
        <v>42250</v>
      </c>
      <c r="D27" s="9">
        <f t="shared" si="11"/>
        <v>4225</v>
      </c>
      <c r="E27" s="11">
        <f>5900+2150+9360</f>
        <v>17410</v>
      </c>
      <c r="F27" s="9">
        <f t="shared" si="12"/>
        <v>14508.333333333334</v>
      </c>
      <c r="G27" s="9">
        <f t="shared" si="13"/>
        <v>2901.666666666667</v>
      </c>
      <c r="H27" s="11">
        <f>550</f>
        <v>550</v>
      </c>
      <c r="I27" s="9">
        <f t="shared" si="14"/>
        <v>499.99999999999994</v>
      </c>
      <c r="J27" s="9">
        <f t="shared" si="15"/>
        <v>50</v>
      </c>
      <c r="K27" s="11">
        <f>1200+600+3200</f>
        <v>5000</v>
      </c>
      <c r="L27" s="9">
        <f t="shared" si="16"/>
        <v>4166.666666666667</v>
      </c>
      <c r="M27" s="9">
        <f t="shared" si="17"/>
        <v>833.33333333333348</v>
      </c>
      <c r="N27" s="11">
        <f>2370+275+3799</f>
        <v>6444</v>
      </c>
      <c r="O27" s="9">
        <f t="shared" si="18"/>
        <v>5370</v>
      </c>
      <c r="P27" s="9">
        <f t="shared" si="19"/>
        <v>1074</v>
      </c>
      <c r="Q27" s="11">
        <f>6615</f>
        <v>6615</v>
      </c>
      <c r="R27" s="11">
        <f>27270+3025+38969</f>
        <v>69264</v>
      </c>
      <c r="S27" s="9">
        <v>0</v>
      </c>
      <c r="T27" s="9">
        <v>0</v>
      </c>
      <c r="U27" s="17">
        <f>29556.5+40582.5+30145</f>
        <v>100284</v>
      </c>
      <c r="V27" s="3"/>
    </row>
    <row r="28" spans="1:22" x14ac:dyDescent="0.3">
      <c r="A28" s="8">
        <v>45868</v>
      </c>
      <c r="B28" s="11">
        <f>995+2550+56055.18</f>
        <v>59600.18</v>
      </c>
      <c r="C28" s="9">
        <f t="shared" si="10"/>
        <v>54181.981818181812</v>
      </c>
      <c r="D28" s="9">
        <f t="shared" si="11"/>
        <v>5418.1981818181812</v>
      </c>
      <c r="E28" s="11">
        <f>5900+16762.76</f>
        <v>22662.76</v>
      </c>
      <c r="F28" s="9">
        <f t="shared" si="12"/>
        <v>18885.633333333331</v>
      </c>
      <c r="G28" s="9">
        <f t="shared" si="13"/>
        <v>3777.1266666666666</v>
      </c>
      <c r="H28" s="11">
        <f>335+865</f>
        <v>1200</v>
      </c>
      <c r="I28" s="9">
        <f t="shared" si="14"/>
        <v>1090.9090909090908</v>
      </c>
      <c r="J28" s="9">
        <f t="shared" si="15"/>
        <v>109.09090909090908</v>
      </c>
      <c r="K28" s="11">
        <f>1200+400+5955.77</f>
        <v>7555.77</v>
      </c>
      <c r="L28" s="9">
        <f t="shared" si="16"/>
        <v>6296.4750000000004</v>
      </c>
      <c r="M28" s="9">
        <f t="shared" si="17"/>
        <v>1259.2950000000001</v>
      </c>
      <c r="N28" s="11">
        <f>809.5+288.5+6843.29</f>
        <v>7941.29</v>
      </c>
      <c r="O28" s="9">
        <f t="shared" si="18"/>
        <v>6617.7416666666668</v>
      </c>
      <c r="P28" s="9">
        <f t="shared" si="19"/>
        <v>1323.5483333333334</v>
      </c>
      <c r="Q28" s="9">
        <f>0</f>
        <v>0</v>
      </c>
      <c r="R28" s="11">
        <f>8904.5+3573.5+86482-5000</f>
        <v>93960</v>
      </c>
      <c r="S28" s="11">
        <v>5000</v>
      </c>
      <c r="T28" s="9">
        <v>0</v>
      </c>
      <c r="U28" s="17">
        <f>22241.5+7500</f>
        <v>29741.5</v>
      </c>
      <c r="V28" s="3"/>
    </row>
    <row r="29" spans="1:22" x14ac:dyDescent="0.3">
      <c r="A29" s="8">
        <v>45869</v>
      </c>
      <c r="B29" s="11">
        <f>8770+11450</f>
        <v>20220</v>
      </c>
      <c r="C29" s="9">
        <f t="shared" si="10"/>
        <v>18381.81818181818</v>
      </c>
      <c r="D29" s="9">
        <f t="shared" si="11"/>
        <v>1838.181818181818</v>
      </c>
      <c r="E29" s="11">
        <f>2650+1150</f>
        <v>3800</v>
      </c>
      <c r="F29" s="9">
        <f t="shared" si="12"/>
        <v>3166.666666666667</v>
      </c>
      <c r="G29" s="9">
        <f t="shared" si="13"/>
        <v>633.33333333333348</v>
      </c>
      <c r="H29" s="11">
        <f>95+365</f>
        <v>460</v>
      </c>
      <c r="I29" s="9">
        <f t="shared" si="14"/>
        <v>418.18181818181813</v>
      </c>
      <c r="J29" s="9">
        <f t="shared" si="15"/>
        <v>41.818181818181813</v>
      </c>
      <c r="K29" s="11">
        <f>1200+1200</f>
        <v>2400</v>
      </c>
      <c r="L29" s="9">
        <f t="shared" si="16"/>
        <v>2000</v>
      </c>
      <c r="M29" s="9">
        <f t="shared" si="17"/>
        <v>400</v>
      </c>
      <c r="N29" s="11">
        <f>1151.5+1296.5</f>
        <v>2448</v>
      </c>
      <c r="O29" s="9">
        <f t="shared" si="18"/>
        <v>2040</v>
      </c>
      <c r="P29" s="9">
        <f t="shared" si="19"/>
        <v>408</v>
      </c>
      <c r="Q29" s="9">
        <v>0</v>
      </c>
      <c r="R29" s="11">
        <f>12194.5+15461.5</f>
        <v>27656</v>
      </c>
      <c r="S29" s="11">
        <v>1672</v>
      </c>
      <c r="T29" s="9">
        <v>0</v>
      </c>
      <c r="U29" s="17">
        <f>40619</f>
        <v>40619</v>
      </c>
      <c r="V29" s="3"/>
    </row>
    <row r="30" spans="1:22" x14ac:dyDescent="0.3">
      <c r="B30" s="6">
        <f>SUM(B3:B29)</f>
        <v>1269184.8400000001</v>
      </c>
      <c r="C30" s="10">
        <f>B30/1.1</f>
        <v>1153804.3999999999</v>
      </c>
      <c r="D30" s="10">
        <f t="shared" ref="D30" si="20">C30*10/100</f>
        <v>115380.44</v>
      </c>
      <c r="E30" s="6">
        <f>SUM(E3:E29)</f>
        <v>590467.16</v>
      </c>
      <c r="F30" s="10">
        <f t="shared" si="2"/>
        <v>492055.96666666673</v>
      </c>
      <c r="G30" s="10">
        <f t="shared" ref="G30" si="21">F30*20/100</f>
        <v>98411.193333333344</v>
      </c>
      <c r="H30" s="6">
        <f>SUM(H3:H29)</f>
        <v>77295</v>
      </c>
      <c r="I30" s="10">
        <f t="shared" si="4"/>
        <v>70268.181818181809</v>
      </c>
      <c r="J30" s="10">
        <f t="shared" ref="J30" si="22">I30*10/100</f>
        <v>7026.8181818181811</v>
      </c>
      <c r="K30" s="6">
        <f>SUM(K3:K29)</f>
        <v>209151.71</v>
      </c>
      <c r="L30" s="10">
        <f t="shared" si="6"/>
        <v>174293.09166666667</v>
      </c>
      <c r="M30" s="10">
        <f t="shared" ref="M30" si="23">L30*20/100</f>
        <v>34858.618333333332</v>
      </c>
      <c r="N30" s="6">
        <f>SUM(N3:N29)</f>
        <v>138301.79</v>
      </c>
      <c r="O30" s="10">
        <f t="shared" si="8"/>
        <v>115251.49166666668</v>
      </c>
      <c r="P30" s="10">
        <f t="shared" ref="P30" si="24">O30*20/100</f>
        <v>23050.298333333336</v>
      </c>
      <c r="Q30" s="6">
        <f>SUM(Q3:Q29)</f>
        <v>81325.5</v>
      </c>
      <c r="R30" s="6">
        <f>SUM(R3:R29)</f>
        <v>2107088.5</v>
      </c>
      <c r="S30" s="6">
        <f>SUM(S3:S29)</f>
        <v>95986.5</v>
      </c>
      <c r="T30" s="6">
        <f>SUM(T3:T29)</f>
        <v>15802.5</v>
      </c>
      <c r="U30" s="6">
        <f>SUM(U3:U29)</f>
        <v>1245999.5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B32" s="39" t="s">
        <v>58</v>
      </c>
      <c r="H32" s="5"/>
      <c r="I32" s="39" t="s">
        <v>59</v>
      </c>
      <c r="T32" s="6"/>
    </row>
    <row r="33" spans="1:23" x14ac:dyDescent="0.3">
      <c r="A33" s="4">
        <v>10</v>
      </c>
      <c r="B33" s="5">
        <f>B30+H30</f>
        <v>1346479.84</v>
      </c>
      <c r="C33" s="5">
        <f>75947.55+1270532.29</f>
        <v>1346479.84</v>
      </c>
      <c r="D33" s="5"/>
      <c r="E33" s="5">
        <f>SUM(C33:D33)</f>
        <v>1346479.84</v>
      </c>
      <c r="F33" s="5">
        <f>B33-E33</f>
        <v>0</v>
      </c>
      <c r="H33" s="4">
        <v>10</v>
      </c>
      <c r="I33" s="5">
        <f>B47+E47</f>
        <v>890030</v>
      </c>
      <c r="J33" s="5">
        <v>890030</v>
      </c>
      <c r="K33" s="5"/>
      <c r="L33" s="5">
        <f>SUM(J33:K33)</f>
        <v>890030</v>
      </c>
      <c r="M33" s="5">
        <f>I33-L33</f>
        <v>0</v>
      </c>
      <c r="O33" s="5">
        <f>J33+C33</f>
        <v>2236509.84</v>
      </c>
      <c r="Q33" s="5"/>
      <c r="T33" s="39"/>
    </row>
    <row r="34" spans="1:23" x14ac:dyDescent="0.3">
      <c r="A34" s="4">
        <v>20</v>
      </c>
      <c r="B34" s="5">
        <f>E30+K30+N30</f>
        <v>937920.66</v>
      </c>
      <c r="C34" s="5">
        <f>183510.45+754410.21</f>
        <v>937920.65999999992</v>
      </c>
      <c r="D34" s="5"/>
      <c r="E34" s="5">
        <f>SUM(C34:D34)</f>
        <v>937920.65999999992</v>
      </c>
      <c r="F34" s="5">
        <f>B34-E34</f>
        <v>0</v>
      </c>
      <c r="H34" s="4">
        <v>20</v>
      </c>
      <c r="I34" s="5">
        <v>0</v>
      </c>
      <c r="J34" s="5">
        <v>0</v>
      </c>
      <c r="K34" s="5"/>
      <c r="L34" s="5">
        <f>SUM(J34:K34)</f>
        <v>0</v>
      </c>
      <c r="M34" s="5">
        <f>I34-L34</f>
        <v>0</v>
      </c>
      <c r="O34" s="5">
        <f>E34</f>
        <v>937920.65999999992</v>
      </c>
      <c r="Q34" s="5"/>
      <c r="R34" s="5"/>
      <c r="T34" s="39"/>
    </row>
    <row r="35" spans="1:23" x14ac:dyDescent="0.3">
      <c r="C35" s="5"/>
      <c r="D35" s="5"/>
      <c r="E35" s="5">
        <f t="shared" ref="E35:E39" si="25">SUM(C35:D35)</f>
        <v>0</v>
      </c>
      <c r="F35" s="5">
        <f t="shared" ref="F35:F38" si="26">B35-E35</f>
        <v>0</v>
      </c>
      <c r="H35" s="4"/>
      <c r="J35" s="5"/>
      <c r="K35" s="5"/>
      <c r="L35" s="5">
        <f t="shared" ref="L35:L39" si="27">SUM(J35:K35)</f>
        <v>0</v>
      </c>
      <c r="M35" s="5">
        <f t="shared" ref="M35:M38" si="28">I35-L35</f>
        <v>0</v>
      </c>
      <c r="Q35" s="5"/>
      <c r="T35" s="6"/>
      <c r="U35" t="s">
        <v>62</v>
      </c>
    </row>
    <row r="36" spans="1:23" x14ac:dyDescent="0.3">
      <c r="A36" s="4" t="s">
        <v>55</v>
      </c>
      <c r="B36" s="5">
        <f>R30+S30+U30</f>
        <v>3449074.5</v>
      </c>
      <c r="C36" s="5">
        <f>456566.5+2992508</f>
        <v>3449074.5</v>
      </c>
      <c r="D36" s="5"/>
      <c r="E36" s="5">
        <f t="shared" si="25"/>
        <v>3449074.5</v>
      </c>
      <c r="F36" s="5">
        <f t="shared" si="26"/>
        <v>0</v>
      </c>
      <c r="H36" s="4" t="s">
        <v>55</v>
      </c>
      <c r="I36" s="5">
        <f>I47+J47</f>
        <v>704323</v>
      </c>
      <c r="J36" s="5">
        <v>704323</v>
      </c>
      <c r="K36" s="5"/>
      <c r="L36" s="5">
        <f t="shared" si="27"/>
        <v>704323</v>
      </c>
      <c r="M36" s="5">
        <f t="shared" si="28"/>
        <v>0</v>
      </c>
      <c r="Q36" s="39" t="s">
        <v>60</v>
      </c>
      <c r="R36" s="6">
        <f>2453822.93-1723.78</f>
        <v>2452099.1500000004</v>
      </c>
      <c r="S36" s="6">
        <v>834908.63</v>
      </c>
      <c r="T36" s="6">
        <f>SUM(R36:S36)</f>
        <v>3287007.7800000003</v>
      </c>
      <c r="U36" s="6">
        <f>T36*10/100</f>
        <v>328700.77800000005</v>
      </c>
      <c r="V36" s="4">
        <v>328700.74</v>
      </c>
      <c r="W36" s="5">
        <f>U36-V36</f>
        <v>3.8000000058673322E-2</v>
      </c>
    </row>
    <row r="37" spans="1:23" x14ac:dyDescent="0.3">
      <c r="A37" s="4" t="s">
        <v>56</v>
      </c>
      <c r="B37" s="5">
        <f>Q30+T30</f>
        <v>97128</v>
      </c>
      <c r="C37" s="5">
        <f>26436.5+70691.5</f>
        <v>97128</v>
      </c>
      <c r="D37" s="5"/>
      <c r="E37" s="5">
        <f t="shared" si="25"/>
        <v>97128</v>
      </c>
      <c r="F37" s="5">
        <f t="shared" si="26"/>
        <v>0</v>
      </c>
      <c r="H37" s="4" t="s">
        <v>56</v>
      </c>
      <c r="I37" s="5">
        <f>H47</f>
        <v>170687</v>
      </c>
      <c r="J37" s="5">
        <f>H47</f>
        <v>170687</v>
      </c>
      <c r="K37" s="5"/>
      <c r="L37" s="5">
        <f t="shared" si="27"/>
        <v>170687</v>
      </c>
      <c r="M37" s="5">
        <f t="shared" si="28"/>
        <v>0</v>
      </c>
      <c r="Q37" s="6" t="s">
        <v>61</v>
      </c>
      <c r="R37" s="6">
        <f>1175577.4-9219.87</f>
        <v>1166357.5299999998</v>
      </c>
      <c r="S37" s="6">
        <v>0</v>
      </c>
      <c r="T37" s="6">
        <f>SUM(R37:S37)</f>
        <v>1166357.5299999998</v>
      </c>
      <c r="U37" s="6">
        <f>R37*20/100</f>
        <v>233271.50599999994</v>
      </c>
      <c r="V37" s="4">
        <v>233271.46</v>
      </c>
      <c r="W37" s="5">
        <f>U37-V37</f>
        <v>4.5999999943887815E-2</v>
      </c>
    </row>
    <row r="38" spans="1:23" x14ac:dyDescent="0.3">
      <c r="A38" s="4" t="s">
        <v>57</v>
      </c>
      <c r="B38" s="5">
        <f>U30+T30</f>
        <v>1261802</v>
      </c>
      <c r="C38" s="5">
        <f>223545+1038257</f>
        <v>1261802</v>
      </c>
      <c r="D38" s="5"/>
      <c r="E38" s="5">
        <f t="shared" si="25"/>
        <v>1261802</v>
      </c>
      <c r="F38" s="5">
        <f t="shared" si="26"/>
        <v>0</v>
      </c>
      <c r="H38" s="4" t="s">
        <v>57</v>
      </c>
      <c r="I38" s="5">
        <f>K47+L47+M47</f>
        <v>14849</v>
      </c>
      <c r="J38" s="5">
        <v>15029</v>
      </c>
      <c r="K38" s="5"/>
      <c r="L38" s="5">
        <f t="shared" si="27"/>
        <v>15029</v>
      </c>
      <c r="M38" s="5">
        <f t="shared" si="28"/>
        <v>-180</v>
      </c>
      <c r="Q38" s="39"/>
      <c r="R38" s="39"/>
      <c r="S38" s="39"/>
      <c r="T38" s="6">
        <f>SUM(T36:T37)</f>
        <v>4453365.3100000005</v>
      </c>
      <c r="U38" s="6">
        <f>SUM(U36:U37)</f>
        <v>561972.28399999999</v>
      </c>
    </row>
    <row r="39" spans="1:23" x14ac:dyDescent="0.3">
      <c r="E39">
        <f t="shared" si="25"/>
        <v>0</v>
      </c>
      <c r="H39" s="4"/>
      <c r="L39">
        <f t="shared" si="27"/>
        <v>0</v>
      </c>
      <c r="Q39" s="39"/>
      <c r="R39" s="39"/>
      <c r="S39" s="39"/>
      <c r="T39" s="6">
        <f>T38+U38</f>
        <v>5015337.5940000005</v>
      </c>
      <c r="U39" s="39"/>
    </row>
    <row r="40" spans="1:23" x14ac:dyDescent="0.3">
      <c r="T40" s="5">
        <f>R30+Q30+S30</f>
        <v>2284400.5</v>
      </c>
      <c r="U40" t="s">
        <v>63</v>
      </c>
    </row>
    <row r="41" spans="1:23" x14ac:dyDescent="0.3">
      <c r="T41" s="5">
        <v>890030</v>
      </c>
      <c r="U41" t="s">
        <v>64</v>
      </c>
    </row>
    <row r="42" spans="1:23" x14ac:dyDescent="0.3">
      <c r="T42" s="5"/>
    </row>
    <row r="43" spans="1:23" x14ac:dyDescent="0.3">
      <c r="T43" s="6">
        <f>T39-T40-T41</f>
        <v>1840907.0940000005</v>
      </c>
    </row>
    <row r="44" spans="1:23" x14ac:dyDescent="0.3">
      <c r="T44" s="5">
        <v>1261802.1000000001</v>
      </c>
      <c r="U44" t="s">
        <v>57</v>
      </c>
    </row>
    <row r="45" spans="1:23" x14ac:dyDescent="0.3">
      <c r="T45" s="5">
        <f>T43-T44</f>
        <v>579104.99400000041</v>
      </c>
    </row>
    <row r="46" spans="1:23" x14ac:dyDescent="0.3">
      <c r="T46" s="6">
        <v>549500</v>
      </c>
      <c r="U46" t="s">
        <v>65</v>
      </c>
    </row>
    <row r="47" spans="1:23" x14ac:dyDescent="0.3">
      <c r="B47" s="6">
        <v>136349.66999999998</v>
      </c>
      <c r="C47" s="10">
        <v>123954.24545454545</v>
      </c>
      <c r="D47" s="10">
        <v>12395.424545454547</v>
      </c>
      <c r="E47" s="6">
        <v>753680.33000000007</v>
      </c>
      <c r="F47" s="10">
        <v>685163.93636363652</v>
      </c>
      <c r="G47" s="10">
        <v>68516.393636363631</v>
      </c>
      <c r="H47" s="6">
        <v>170687</v>
      </c>
      <c r="I47" s="6">
        <v>663900.5</v>
      </c>
      <c r="J47" s="40">
        <v>40422.5</v>
      </c>
      <c r="K47" s="40">
        <v>3260</v>
      </c>
      <c r="L47" s="40">
        <v>2105</v>
      </c>
      <c r="M47" s="40">
        <v>9484</v>
      </c>
      <c r="N47" s="40">
        <v>15020</v>
      </c>
      <c r="T47" s="6">
        <f>T45-T46</f>
        <v>29604.994000000414</v>
      </c>
    </row>
    <row r="48" spans="1:23" x14ac:dyDescent="0.3">
      <c r="T48" s="6">
        <v>5477.5</v>
      </c>
    </row>
    <row r="49" spans="3:21" x14ac:dyDescent="0.3">
      <c r="T49" s="5">
        <v>17612</v>
      </c>
    </row>
    <row r="50" spans="3:21" x14ac:dyDescent="0.3">
      <c r="T50" s="5">
        <v>5280</v>
      </c>
    </row>
    <row r="51" spans="3:21" x14ac:dyDescent="0.3">
      <c r="C51">
        <v>834908.63</v>
      </c>
      <c r="T51" s="5">
        <f>T47-T48-T49-T50</f>
        <v>1235.4940000004135</v>
      </c>
    </row>
    <row r="52" spans="3:21" x14ac:dyDescent="0.3">
      <c r="C52">
        <f>C51*10/100</f>
        <v>83490.862999999998</v>
      </c>
      <c r="T52" s="5">
        <v>1235.4100000000001</v>
      </c>
      <c r="U52" t="s">
        <v>66</v>
      </c>
    </row>
    <row r="53" spans="3:21" x14ac:dyDescent="0.3">
      <c r="C53">
        <v>918400</v>
      </c>
      <c r="T53" s="5">
        <f>T51-T52</f>
        <v>8.4000000413425369E-2</v>
      </c>
    </row>
    <row r="54" spans="3:21" x14ac:dyDescent="0.3">
      <c r="C54" s="5">
        <f>B47+E47</f>
        <v>890030</v>
      </c>
    </row>
    <row r="55" spans="3:21" x14ac:dyDescent="0.3">
      <c r="C55" s="5">
        <f>C53-C54</f>
        <v>28370</v>
      </c>
    </row>
    <row r="56" spans="3:21" x14ac:dyDescent="0.3">
      <c r="C56">
        <v>5477.5</v>
      </c>
    </row>
    <row r="57" spans="3:21" x14ac:dyDescent="0.3">
      <c r="C57">
        <v>17612</v>
      </c>
    </row>
    <row r="58" spans="3:21" x14ac:dyDescent="0.3">
      <c r="C58">
        <v>5280</v>
      </c>
    </row>
    <row r="59" spans="3:21" x14ac:dyDescent="0.3">
      <c r="C59">
        <f>SUM(C56:C58)</f>
        <v>28369.5</v>
      </c>
    </row>
    <row r="61" spans="3:21" x14ac:dyDescent="0.3">
      <c r="C61" s="5">
        <f>C55-C59</f>
        <v>0.5</v>
      </c>
    </row>
  </sheetData>
  <mergeCells count="1">
    <mergeCell ref="T1:U1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8</vt:i4>
      </vt:variant>
    </vt:vector>
  </HeadingPairs>
  <TitlesOfParts>
    <vt:vector size="8" baseType="lpstr">
      <vt:lpstr>OCAK</vt:lpstr>
      <vt:lpstr>ŞUBAT</vt:lpstr>
      <vt:lpstr>MART</vt:lpstr>
      <vt:lpstr>NİSAN</vt:lpstr>
      <vt:lpstr>Sayfa1</vt:lpstr>
      <vt:lpstr>MAYIS</vt:lpstr>
      <vt:lpstr>HAZİRAN</vt:lpstr>
      <vt:lpstr>TEMMUZ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2025-08-22T08:41:08Z</cp:lastPrinted>
  <dcterms:created xsi:type="dcterms:W3CDTF">2023-03-28T06:21:12Z</dcterms:created>
  <dcterms:modified xsi:type="dcterms:W3CDTF">2025-08-22T09:58:28Z</dcterms:modified>
  <cp:category/>
  <cp:contentStatus/>
</cp:coreProperties>
</file>